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curraghmine.sharepoint.com/sites/Sustainability-SRContentProviders/Shared Documents/SR Content Providers/2025 SR Content Provider Files/"/>
    </mc:Choice>
  </mc:AlternateContent>
  <xr:revisionPtr revIDLastSave="81" documentId="8_{42121B3D-0889-45B8-86F0-F0102C1B18CD}" xr6:coauthVersionLast="47" xr6:coauthVersionMax="47" xr10:uidLastSave="{9EE8F84A-6D42-42DC-8A1B-B6B075A9B3A2}"/>
  <bookViews>
    <workbookView xWindow="38280" yWindow="3765" windowWidth="38640" windowHeight="21120" tabRatio="831" activeTab="6" xr2:uid="{00000000-000D-0000-FFFF-FFFF00000000}"/>
  </bookViews>
  <sheets>
    <sheet name="Cover" sheetId="13" r:id="rId1"/>
    <sheet name="Our Operations" sheetId="5" r:id="rId2"/>
    <sheet name="Climate Change" sheetId="1" r:id="rId3"/>
    <sheet name="Environment" sheetId="16" r:id="rId4"/>
    <sheet name="Safety &amp; Health" sheetId="8" r:id="rId5"/>
    <sheet name="People" sheetId="10" r:id="rId6"/>
    <sheet name="Community" sheetId="7" r:id="rId7"/>
    <sheet name="Corporate and Financial" sheetId="9" r:id="rId8"/>
    <sheet name="Key Stats" sheetId="11" state="hidden" r:id="rId9"/>
    <sheet name="Stakeholder engagement" sheetId="18" r:id="rId10"/>
  </sheets>
  <definedNames>
    <definedName name="_xlnm.Print_Area" localSheetId="2">'Climate Change'!$A$1:$J$46</definedName>
    <definedName name="_xlnm.Print_Area" localSheetId="3">Environment!$A$1:$J$140</definedName>
    <definedName name="_xlnm.Print_Area" localSheetId="5">People!$A$1:$AU$88</definedName>
    <definedName name="_xlnm.Print_Area" localSheetId="9">'Stakeholder engagement'!$A$1:$C$44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6" i="10" l="1"/>
  <c r="G26" i="10"/>
  <c r="C72" i="16"/>
  <c r="C75" i="16"/>
  <c r="C87" i="16"/>
  <c r="C47" i="10" l="1"/>
  <c r="B47" i="10"/>
  <c r="L47" i="10"/>
  <c r="G47" i="10"/>
  <c r="B46" i="10"/>
  <c r="H47" i="10"/>
  <c r="B51" i="10"/>
  <c r="C6" i="7"/>
  <c r="C71" i="16"/>
  <c r="C14" i="1"/>
  <c r="C15" i="1" l="1"/>
  <c r="C77" i="16"/>
  <c r="C36" i="16"/>
  <c r="C80" i="9"/>
  <c r="B11" i="10"/>
  <c r="B39" i="10" s="1"/>
  <c r="B38" i="10"/>
  <c r="C38" i="10"/>
  <c r="B37" i="10"/>
  <c r="C37" i="10"/>
  <c r="C48" i="5"/>
  <c r="C39" i="5"/>
  <c r="C30" i="9"/>
  <c r="C14" i="9"/>
  <c r="D6" i="7" l="1"/>
  <c r="B71" i="10"/>
  <c r="C71" i="10"/>
  <c r="F75" i="10"/>
  <c r="F74" i="10"/>
  <c r="E6" i="7"/>
  <c r="C50" i="16"/>
  <c r="C35" i="16"/>
  <c r="D37" i="10"/>
  <c r="B62" i="10"/>
  <c r="B61" i="10" s="1"/>
  <c r="F62" i="10"/>
  <c r="F61" i="10" s="1"/>
  <c r="E62" i="10"/>
  <c r="E61" i="10" s="1"/>
  <c r="D62" i="10"/>
  <c r="D61" i="10" s="1"/>
  <c r="C62" i="10"/>
  <c r="C61" i="10" s="1"/>
  <c r="G62" i="10"/>
  <c r="H58" i="10"/>
  <c r="B59" i="10"/>
  <c r="B60" i="10" s="1"/>
  <c r="G59" i="10"/>
  <c r="G60" i="10" s="1"/>
  <c r="F59" i="10"/>
  <c r="F60" i="10" s="1"/>
  <c r="E59" i="10"/>
  <c r="E60" i="10" s="1"/>
  <c r="D59" i="10"/>
  <c r="D60" i="10" s="1"/>
  <c r="C59" i="10"/>
  <c r="C60" i="10" s="1"/>
  <c r="C58" i="10"/>
  <c r="D58" i="10"/>
  <c r="E58" i="10"/>
  <c r="F58" i="10"/>
  <c r="B58" i="10"/>
  <c r="C56" i="10"/>
  <c r="D56" i="10"/>
  <c r="E56" i="10"/>
  <c r="F56" i="10"/>
  <c r="B56" i="10"/>
  <c r="G56" i="10"/>
  <c r="C52" i="10"/>
  <c r="D52" i="10"/>
  <c r="E52" i="10"/>
  <c r="F52" i="10"/>
  <c r="B52" i="10"/>
  <c r="D46" i="10"/>
  <c r="C51" i="10"/>
  <c r="D51" i="10"/>
  <c r="E51" i="10"/>
  <c r="F51" i="10"/>
  <c r="D47" i="10"/>
  <c r="E47" i="10"/>
  <c r="F47" i="10"/>
  <c r="B74" i="10"/>
  <c r="C46" i="10"/>
  <c r="E46" i="10"/>
  <c r="F46" i="10"/>
  <c r="B75" i="10"/>
  <c r="G46" i="10"/>
  <c r="C34" i="10"/>
  <c r="B34" i="10"/>
  <c r="B20" i="10"/>
  <c r="H25" i="10"/>
  <c r="G25" i="10"/>
  <c r="N25" i="10"/>
  <c r="E19" i="10"/>
  <c r="F19" i="10"/>
  <c r="D19" i="10"/>
  <c r="C19" i="10"/>
  <c r="B19" i="10"/>
  <c r="E17" i="10"/>
  <c r="F17" i="10"/>
  <c r="D17" i="10"/>
  <c r="C17" i="10"/>
  <c r="B17" i="10"/>
  <c r="L7" i="7"/>
  <c r="L6" i="7"/>
  <c r="C27" i="10"/>
  <c r="D27" i="10"/>
  <c r="E27" i="10"/>
  <c r="F27" i="10"/>
  <c r="B27" i="10"/>
  <c r="D20" i="10"/>
  <c r="E20" i="10"/>
  <c r="F20" i="10"/>
  <c r="C20" i="10"/>
  <c r="C11" i="10"/>
  <c r="D11" i="10"/>
  <c r="E11" i="10"/>
  <c r="C83" i="16"/>
  <c r="D110" i="16"/>
  <c r="D95" i="16"/>
  <c r="D101" i="16" s="1"/>
  <c r="D89" i="16"/>
  <c r="D83" i="16"/>
  <c r="D77" i="16"/>
  <c r="D75" i="16"/>
  <c r="D72" i="16"/>
  <c r="D71" i="16" s="1"/>
  <c r="D80" i="16" s="1"/>
  <c r="D103" i="16" s="1"/>
  <c r="D68" i="16"/>
  <c r="D63" i="16"/>
  <c r="D58" i="16"/>
  <c r="D52" i="16"/>
  <c r="D47" i="16"/>
  <c r="D42" i="16"/>
  <c r="D35" i="16"/>
  <c r="D32" i="16"/>
  <c r="D27" i="16"/>
  <c r="D22" i="16"/>
  <c r="D21" i="16"/>
  <c r="D19" i="16"/>
  <c r="D14" i="16"/>
  <c r="D9" i="16"/>
  <c r="D38" i="1"/>
  <c r="D30" i="1"/>
  <c r="D25" i="1"/>
  <c r="D20" i="1"/>
  <c r="D14" i="1"/>
  <c r="D11" i="1"/>
  <c r="D48" i="5"/>
  <c r="D39" i="5"/>
  <c r="D30" i="5"/>
  <c r="D23" i="5"/>
  <c r="D16" i="5"/>
  <c r="C11" i="1"/>
  <c r="E71" i="16"/>
  <c r="C38" i="1"/>
  <c r="E38" i="1"/>
  <c r="H27" i="10" l="1"/>
  <c r="G27" i="10"/>
  <c r="D104" i="16"/>
  <c r="F6" i="5"/>
  <c r="F7" i="5"/>
  <c r="F8" i="5"/>
  <c r="F5" i="5"/>
  <c r="G6" i="5"/>
  <c r="G7" i="5"/>
  <c r="G8" i="5"/>
  <c r="G5" i="5"/>
  <c r="D68" i="10"/>
  <c r="E71" i="10"/>
  <c r="D71" i="10"/>
  <c r="K56" i="10"/>
  <c r="J56" i="10"/>
  <c r="I56" i="10"/>
  <c r="H56" i="10"/>
  <c r="K62" i="10"/>
  <c r="J62" i="10"/>
  <c r="I62" i="10"/>
  <c r="H62" i="10"/>
  <c r="K59" i="10"/>
  <c r="K60" i="10" s="1"/>
  <c r="J59" i="10"/>
  <c r="J60" i="10" s="1"/>
  <c r="I59" i="10"/>
  <c r="I60" i="10" s="1"/>
  <c r="H59" i="10"/>
  <c r="H60" i="10" s="1"/>
  <c r="K58" i="10"/>
  <c r="J58" i="10"/>
  <c r="I58" i="10"/>
  <c r="G58" i="10"/>
  <c r="G52" i="10"/>
  <c r="K52" i="10"/>
  <c r="J52" i="10"/>
  <c r="I52" i="10"/>
  <c r="H52" i="10"/>
  <c r="K51" i="10"/>
  <c r="J51" i="10"/>
  <c r="I51" i="10"/>
  <c r="H51" i="10"/>
  <c r="G51" i="10"/>
  <c r="O26" i="10"/>
  <c r="N26" i="10"/>
  <c r="J27" i="10"/>
  <c r="K27" i="10"/>
  <c r="L27" i="10"/>
  <c r="M27" i="10"/>
  <c r="I27" i="10"/>
  <c r="K19" i="10"/>
  <c r="J19" i="10"/>
  <c r="I19" i="10"/>
  <c r="H19" i="10"/>
  <c r="G19" i="10"/>
  <c r="L19" i="10"/>
  <c r="C95" i="16" l="1"/>
  <c r="C101" i="16" s="1"/>
  <c r="E95" i="16"/>
  <c r="K47" i="10"/>
  <c r="J47" i="10"/>
  <c r="I47" i="10"/>
  <c r="C74" i="10"/>
  <c r="K46" i="10"/>
  <c r="J46" i="10"/>
  <c r="I46" i="10"/>
  <c r="H46" i="10"/>
  <c r="C75" i="10"/>
  <c r="O25" i="10"/>
  <c r="C80" i="16"/>
  <c r="G7" i="7"/>
  <c r="G6" i="7"/>
  <c r="K20" i="10"/>
  <c r="J20" i="10"/>
  <c r="I20" i="10"/>
  <c r="H20" i="10"/>
  <c r="G20" i="10"/>
  <c r="I11" i="10"/>
  <c r="H11" i="10"/>
  <c r="G11" i="10"/>
  <c r="F11" i="10"/>
  <c r="C110" i="16"/>
  <c r="C68" i="16"/>
  <c r="C63" i="16"/>
  <c r="C58" i="16"/>
  <c r="C52" i="16"/>
  <c r="C47" i="16"/>
  <c r="C42" i="16"/>
  <c r="C32" i="16"/>
  <c r="C27" i="16"/>
  <c r="C19" i="16"/>
  <c r="C14" i="16"/>
  <c r="C9" i="16"/>
  <c r="C30" i="1"/>
  <c r="C25" i="1"/>
  <c r="C20" i="1"/>
  <c r="C30" i="5"/>
  <c r="C23" i="5"/>
  <c r="C16" i="5"/>
  <c r="H101" i="16"/>
  <c r="I101" i="16"/>
  <c r="J101" i="16"/>
  <c r="G101" i="16"/>
  <c r="F101" i="16"/>
  <c r="J80" i="16"/>
  <c r="I80" i="16"/>
  <c r="H80" i="16"/>
  <c r="G80" i="16"/>
  <c r="C39" i="10" l="1"/>
  <c r="G61" i="10"/>
  <c r="K61" i="10"/>
  <c r="N27" i="10"/>
  <c r="C22" i="16"/>
  <c r="I61" i="10"/>
  <c r="H61" i="10"/>
  <c r="O27" i="10"/>
  <c r="C104" i="16"/>
  <c r="C21" i="16"/>
  <c r="J61" i="10"/>
  <c r="C103" i="16"/>
  <c r="M28" i="1"/>
  <c r="J58" i="16"/>
  <c r="E11" i="1"/>
  <c r="Q7" i="7"/>
  <c r="Q6" i="7"/>
  <c r="P14" i="1"/>
  <c r="Q14" i="1"/>
  <c r="R14" i="1"/>
  <c r="O14" i="1"/>
  <c r="N8" i="1" l="1"/>
  <c r="D38" i="10"/>
  <c r="E38" i="10" l="1"/>
  <c r="E55" i="9"/>
  <c r="E14" i="9"/>
  <c r="E48" i="5"/>
  <c r="F11" i="1"/>
  <c r="N7" i="1"/>
  <c r="O58" i="10"/>
  <c r="P58" i="10"/>
  <c r="N58" i="10"/>
  <c r="M58" i="10"/>
  <c r="L58" i="10"/>
  <c r="P11" i="1"/>
  <c r="O7" i="1"/>
  <c r="O4" i="1"/>
  <c r="N4" i="1"/>
  <c r="O8" i="1"/>
  <c r="O5" i="1"/>
  <c r="N5" i="1"/>
  <c r="N11" i="1" s="1"/>
  <c r="V26" i="10"/>
  <c r="N59" i="10"/>
  <c r="N60" i="10" s="1"/>
  <c r="N62" i="10"/>
  <c r="M62" i="10"/>
  <c r="L62" i="10"/>
  <c r="P46" i="10"/>
  <c r="P52" i="10"/>
  <c r="O52" i="10"/>
  <c r="N52" i="10"/>
  <c r="M52" i="10"/>
  <c r="L52" i="10"/>
  <c r="P51" i="10"/>
  <c r="O51" i="10"/>
  <c r="N51" i="10"/>
  <c r="M51" i="10"/>
  <c r="L51" i="10"/>
  <c r="L11" i="10"/>
  <c r="M11" i="10"/>
  <c r="U26" i="10"/>
  <c r="E83" i="16"/>
  <c r="E35" i="16"/>
  <c r="R59" i="10"/>
  <c r="Q59" i="10"/>
  <c r="P56" i="10"/>
  <c r="U56" i="10"/>
  <c r="T56" i="10"/>
  <c r="S56" i="10"/>
  <c r="O56" i="10"/>
  <c r="N56" i="10"/>
  <c r="R56" i="10"/>
  <c r="Q56" i="10"/>
  <c r="M56" i="10"/>
  <c r="L56" i="10"/>
  <c r="V25" i="10"/>
  <c r="P47" i="10"/>
  <c r="O47" i="10"/>
  <c r="N47" i="10"/>
  <c r="M47" i="10"/>
  <c r="D74" i="10"/>
  <c r="O46" i="10"/>
  <c r="N46" i="10"/>
  <c r="M46" i="10"/>
  <c r="L46" i="10"/>
  <c r="D75" i="10" s="1"/>
  <c r="U25" i="10"/>
  <c r="AB25" i="10"/>
  <c r="P19" i="10"/>
  <c r="O19" i="10"/>
  <c r="N19" i="10"/>
  <c r="M19" i="10"/>
  <c r="P17" i="10"/>
  <c r="O17" i="10"/>
  <c r="N17" i="10"/>
  <c r="M17" i="10"/>
  <c r="L17" i="10"/>
  <c r="Q17" i="10"/>
  <c r="P59" i="10"/>
  <c r="P60" i="10" s="1"/>
  <c r="O59" i="10"/>
  <c r="O60" i="10" s="1"/>
  <c r="P62" i="10"/>
  <c r="O62" i="10"/>
  <c r="M59" i="10"/>
  <c r="M60" i="10" s="1"/>
  <c r="L59" i="10"/>
  <c r="L60" i="10" s="1"/>
  <c r="T27" i="10"/>
  <c r="S27" i="10"/>
  <c r="R27" i="10"/>
  <c r="Q27" i="10"/>
  <c r="P27" i="10"/>
  <c r="P20" i="10"/>
  <c r="O20" i="10"/>
  <c r="N20" i="10"/>
  <c r="M20" i="10"/>
  <c r="L20" i="10"/>
  <c r="K11" i="10"/>
  <c r="J11" i="10"/>
  <c r="D39" i="10" s="1"/>
  <c r="E110" i="16"/>
  <c r="E68" i="16"/>
  <c r="E63" i="16"/>
  <c r="E58" i="16"/>
  <c r="E52" i="16"/>
  <c r="E47" i="16"/>
  <c r="E42" i="16"/>
  <c r="E32" i="16"/>
  <c r="E27" i="16"/>
  <c r="E19" i="16"/>
  <c r="E14" i="16"/>
  <c r="E9" i="16"/>
  <c r="E30" i="1"/>
  <c r="E25" i="1"/>
  <c r="E20" i="1"/>
  <c r="E16" i="5"/>
  <c r="J23" i="5"/>
  <c r="I23" i="5"/>
  <c r="F23" i="5"/>
  <c r="G23" i="5"/>
  <c r="E23" i="5"/>
  <c r="F30" i="5"/>
  <c r="G30" i="5"/>
  <c r="H30" i="5"/>
  <c r="I30" i="5"/>
  <c r="J30" i="5"/>
  <c r="E30" i="5"/>
  <c r="E39" i="5"/>
  <c r="S51" i="10"/>
  <c r="O10" i="1" l="1"/>
  <c r="E21" i="16"/>
  <c r="N10" i="1"/>
  <c r="E22" i="16"/>
  <c r="E80" i="16"/>
  <c r="E103" i="16" s="1"/>
  <c r="V27" i="10"/>
  <c r="O11" i="1"/>
  <c r="P61" i="10"/>
  <c r="O61" i="10"/>
  <c r="N61" i="10"/>
  <c r="M61" i="10"/>
  <c r="L61" i="10"/>
  <c r="U27" i="10"/>
  <c r="F71" i="16"/>
  <c r="F80" i="16" s="1"/>
  <c r="F35" i="16"/>
  <c r="F71" i="10"/>
  <c r="U51" i="10"/>
  <c r="U59" i="10"/>
  <c r="U60" i="10" s="1"/>
  <c r="F55" i="9"/>
  <c r="F30" i="9"/>
  <c r="E16" i="9" s="1"/>
  <c r="E30" i="9" s="1"/>
  <c r="F14" i="9"/>
  <c r="T59" i="10"/>
  <c r="T60" i="10" s="1"/>
  <c r="S59" i="10"/>
  <c r="S60" i="10" s="1"/>
  <c r="R60" i="10"/>
  <c r="Q60" i="10"/>
  <c r="R52" i="10"/>
  <c r="S52" i="10"/>
  <c r="T52" i="10"/>
  <c r="U52" i="10"/>
  <c r="Q52" i="10"/>
  <c r="AC26" i="10"/>
  <c r="U19" i="10"/>
  <c r="T19" i="10"/>
  <c r="S19" i="10"/>
  <c r="U17" i="10"/>
  <c r="T17" i="10"/>
  <c r="S17" i="10"/>
  <c r="U46" i="10"/>
  <c r="T46" i="10"/>
  <c r="S46" i="10"/>
  <c r="T51" i="10"/>
  <c r="AC25" i="10"/>
  <c r="AB26" i="10"/>
  <c r="T47" i="10"/>
  <c r="U47" i="10"/>
  <c r="S47" i="10"/>
  <c r="R47" i="10"/>
  <c r="Q47" i="10"/>
  <c r="E74" i="10" s="1"/>
  <c r="R51" i="10"/>
  <c r="Q51" i="10"/>
  <c r="R46" i="10"/>
  <c r="Q46" i="10"/>
  <c r="E75" i="10" s="1"/>
  <c r="R19" i="10"/>
  <c r="Q19" i="10"/>
  <c r="R17" i="10"/>
  <c r="J38" i="1"/>
  <c r="I38" i="1"/>
  <c r="H38" i="1"/>
  <c r="G38" i="1"/>
  <c r="F38" i="1"/>
  <c r="H30" i="1"/>
  <c r="G30" i="1"/>
  <c r="F30" i="1"/>
  <c r="F25" i="1"/>
  <c r="F20" i="1"/>
  <c r="F110" i="16"/>
  <c r="F68" i="16"/>
  <c r="F63" i="16"/>
  <c r="F58" i="16"/>
  <c r="F52" i="16"/>
  <c r="F47" i="16"/>
  <c r="F42" i="16"/>
  <c r="F32" i="16"/>
  <c r="F27" i="16"/>
  <c r="F19" i="16"/>
  <c r="F14" i="16"/>
  <c r="F9" i="16"/>
  <c r="AK7" i="7"/>
  <c r="AK6" i="7"/>
  <c r="AF7" i="7"/>
  <c r="AF6" i="7"/>
  <c r="AA7" i="7"/>
  <c r="AA6" i="7"/>
  <c r="V7" i="7"/>
  <c r="V6" i="7"/>
  <c r="S62" i="10"/>
  <c r="T62" i="10"/>
  <c r="U62" i="10"/>
  <c r="R62" i="10"/>
  <c r="AC62" i="10"/>
  <c r="AD62" i="10"/>
  <c r="AE62" i="10"/>
  <c r="AA62" i="10"/>
  <c r="AB62" i="10"/>
  <c r="V62" i="10"/>
  <c r="W62" i="10"/>
  <c r="X62" i="10"/>
  <c r="Y62" i="10"/>
  <c r="Z62" i="10"/>
  <c r="Q62" i="10"/>
  <c r="AA27" i="10"/>
  <c r="Z27" i="10"/>
  <c r="Y27" i="10"/>
  <c r="X27" i="10"/>
  <c r="W27" i="10"/>
  <c r="AO27" i="10"/>
  <c r="AN27" i="10"/>
  <c r="AM27" i="10"/>
  <c r="AL27" i="10"/>
  <c r="AK27" i="10"/>
  <c r="AH27" i="10"/>
  <c r="AG27" i="10"/>
  <c r="AF27" i="10"/>
  <c r="AE27" i="10"/>
  <c r="AD27" i="10"/>
  <c r="AE20" i="10"/>
  <c r="AD20" i="10"/>
  <c r="AC20" i="10"/>
  <c r="AB20" i="10"/>
  <c r="AA20" i="10"/>
  <c r="Z20" i="10"/>
  <c r="Y20" i="10"/>
  <c r="X20" i="10"/>
  <c r="W20" i="10"/>
  <c r="V20" i="10"/>
  <c r="U20" i="10"/>
  <c r="T20" i="10"/>
  <c r="S20" i="10"/>
  <c r="R20" i="10"/>
  <c r="Q20" i="10"/>
  <c r="U11" i="10"/>
  <c r="T11" i="10"/>
  <c r="S11" i="10"/>
  <c r="R11" i="10"/>
  <c r="Q11" i="10"/>
  <c r="P11" i="10"/>
  <c r="O11" i="10"/>
  <c r="N11" i="10"/>
  <c r="F48" i="5"/>
  <c r="F39" i="5"/>
  <c r="H25" i="1"/>
  <c r="I25" i="1"/>
  <c r="J25" i="1"/>
  <c r="G25" i="1"/>
  <c r="H20" i="1"/>
  <c r="I20" i="1"/>
  <c r="J20" i="1"/>
  <c r="G20" i="1"/>
  <c r="C5" i="5"/>
  <c r="H110" i="16"/>
  <c r="G110" i="16"/>
  <c r="H68" i="16"/>
  <c r="G68" i="16"/>
  <c r="H63" i="16"/>
  <c r="G63" i="16"/>
  <c r="I58" i="16"/>
  <c r="H58" i="16"/>
  <c r="G58" i="16"/>
  <c r="J52" i="16"/>
  <c r="I52" i="16"/>
  <c r="H52" i="16"/>
  <c r="G52" i="16"/>
  <c r="J47" i="16"/>
  <c r="I47" i="16"/>
  <c r="H47" i="16"/>
  <c r="G47" i="16"/>
  <c r="H42" i="16"/>
  <c r="G42" i="16"/>
  <c r="H32" i="16"/>
  <c r="G32" i="16"/>
  <c r="J27" i="16"/>
  <c r="I27" i="16"/>
  <c r="H27" i="16"/>
  <c r="G27" i="16"/>
  <c r="J19" i="16"/>
  <c r="I19" i="16"/>
  <c r="H19" i="16"/>
  <c r="G19" i="16"/>
  <c r="J14" i="16"/>
  <c r="I14" i="16"/>
  <c r="H14" i="16"/>
  <c r="G14" i="16"/>
  <c r="J9" i="16"/>
  <c r="I9" i="16"/>
  <c r="H9" i="16"/>
  <c r="G9" i="16"/>
  <c r="J40" i="9"/>
  <c r="G30" i="9"/>
  <c r="G14" i="9"/>
  <c r="E9" i="11"/>
  <c r="J48" i="5"/>
  <c r="I48" i="5"/>
  <c r="G48" i="5"/>
  <c r="H47" i="5"/>
  <c r="H48" i="5" s="1"/>
  <c r="J39" i="5"/>
  <c r="I39" i="5"/>
  <c r="G39" i="5"/>
  <c r="H38" i="5"/>
  <c r="H39" i="5" s="1"/>
  <c r="H22" i="5"/>
  <c r="H21" i="5"/>
  <c r="H20" i="5"/>
  <c r="J16" i="5"/>
  <c r="I16" i="5"/>
  <c r="H16" i="5"/>
  <c r="G16" i="5"/>
  <c r="F21" i="16" l="1"/>
  <c r="F22" i="16"/>
  <c r="E104" i="16"/>
  <c r="H23" i="5"/>
  <c r="AB27" i="10"/>
  <c r="E39" i="10"/>
  <c r="F104" i="16"/>
  <c r="F103" i="16"/>
  <c r="AC27" i="10"/>
  <c r="Q61" i="10"/>
  <c r="R61" i="10"/>
  <c r="U61" i="10"/>
  <c r="T61" i="10"/>
  <c r="S61"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tc={B5C7C03B-7E4F-42B6-8A63-BE60901ACE13}</author>
  </authors>
  <commentList>
    <comment ref="M13" authorId="0" shapeId="0" xr:uid="{B5C7C03B-7E4F-42B6-8A63-BE60901ACE13}">
      <text>
        <t>[Threaded comment]
Your version of Excel allows you to read this threaded comment; however, any edits to it will get removed if the file is opened in a newer version of Excel. Learn more: https://go.microsoft.com/fwlink/?linkid=870924
Comment:
    This intensity will need to be reviewed and adjusted to reflect ROMt</t>
      </text>
    </comment>
  </commentList>
</comments>
</file>

<file path=xl/sharedStrings.xml><?xml version="1.0" encoding="utf-8"?>
<sst xmlns="http://schemas.openxmlformats.org/spreadsheetml/2006/main" count="1539" uniqueCount="507">
  <si>
    <t>Sustainability Databook</t>
  </si>
  <si>
    <t>This Sustainability databook summarises our key</t>
  </si>
  <si>
    <t>performance information for calendar years 2018-2025.</t>
  </si>
  <si>
    <t>Coronado Global Resources Inc.</t>
  </si>
  <si>
    <t>www.coronadoglobal.com</t>
  </si>
  <si>
    <t>Operational Overview</t>
  </si>
  <si>
    <t>Overview</t>
  </si>
  <si>
    <t>Region</t>
  </si>
  <si>
    <r>
      <t>Approximate area km</t>
    </r>
    <r>
      <rPr>
        <b/>
        <vertAlign val="superscript"/>
        <sz val="8"/>
        <color theme="0"/>
        <rFont val="Arial"/>
        <family val="2"/>
      </rPr>
      <t>2</t>
    </r>
  </si>
  <si>
    <t>Year opened</t>
  </si>
  <si>
    <t>Year acquired</t>
  </si>
  <si>
    <t>Reserves Mt</t>
  </si>
  <si>
    <t>2025 Resources   Mt</t>
  </si>
  <si>
    <t>Curragh - located in the Bowen Basin, Central Queensland</t>
  </si>
  <si>
    <t>Australia</t>
  </si>
  <si>
    <r>
      <t>Buchanan - near town of Oakwood in Buchanan County, Virginia, within the CAPP</t>
    </r>
    <r>
      <rPr>
        <sz val="6"/>
        <color theme="1"/>
        <rFont val="Arial"/>
        <family val="2"/>
      </rPr>
      <t xml:space="preserve"> (1)</t>
    </r>
    <r>
      <rPr>
        <sz val="8"/>
        <color theme="1"/>
        <rFont val="Arial"/>
        <family val="2"/>
      </rPr>
      <t xml:space="preserve"> geological province</t>
    </r>
  </si>
  <si>
    <t>United States</t>
  </si>
  <si>
    <r>
      <t xml:space="preserve">Logan - Boone, Logan, Wyoming Counties in southern West Virginia, within the CAPP </t>
    </r>
    <r>
      <rPr>
        <sz val="6"/>
        <color theme="1"/>
        <rFont val="Arial"/>
        <family val="2"/>
      </rPr>
      <t>(1)</t>
    </r>
    <r>
      <rPr>
        <sz val="8"/>
        <color theme="1"/>
        <rFont val="Arial"/>
        <family val="2"/>
      </rPr>
      <t xml:space="preserve"> geological province</t>
    </r>
  </si>
  <si>
    <r>
      <t>Greenbrier - Greenbrier and Nicholas Counties of West Virginia, within the CAPP</t>
    </r>
    <r>
      <rPr>
        <sz val="6"/>
        <color theme="1"/>
        <rFont val="Arial"/>
        <family val="2"/>
      </rPr>
      <t xml:space="preserve"> (1)</t>
    </r>
    <r>
      <rPr>
        <sz val="8"/>
        <color theme="1"/>
        <rFont val="Arial"/>
        <family val="2"/>
      </rPr>
      <t xml:space="preserve"> geological province</t>
    </r>
  </si>
  <si>
    <t>Metrics</t>
  </si>
  <si>
    <t>Unit</t>
  </si>
  <si>
    <t>Saleable Production</t>
  </si>
  <si>
    <t>– Curragh</t>
  </si>
  <si>
    <t>Mt</t>
  </si>
  <si>
    <t>– Greenbrier</t>
  </si>
  <si>
    <t>– Logan</t>
  </si>
  <si>
    <t>– Buchanan</t>
  </si>
  <si>
    <t>Total</t>
  </si>
  <si>
    <t>Saleable Production - Metallurgical Coal</t>
  </si>
  <si>
    <r>
      <t xml:space="preserve">Total </t>
    </r>
    <r>
      <rPr>
        <b/>
        <sz val="6"/>
        <color theme="1"/>
        <rFont val="Arial"/>
        <family val="2"/>
      </rPr>
      <t>(2)</t>
    </r>
  </si>
  <si>
    <t>Saleable Production - Thermal Coal</t>
  </si>
  <si>
    <t>Reserves (Reserves are on a ROM basis 7.5 moisture for Curragh and air dried basis for the U.S.)</t>
  </si>
  <si>
    <t>– Mon Valley</t>
  </si>
  <si>
    <t>ND</t>
  </si>
  <si>
    <t>– Other</t>
  </si>
  <si>
    <t>Group</t>
  </si>
  <si>
    <t>Resources (Inclusive of reserves)</t>
  </si>
  <si>
    <t>Footnotes:</t>
  </si>
  <si>
    <t>(1) CAPP stands for Central Appalachian</t>
  </si>
  <si>
    <t>(2) Data in tables may not total exactly because of rounding</t>
  </si>
  <si>
    <t>Energy and Greenhouse Gases (GHG) – performance data</t>
  </si>
  <si>
    <t>GHG emissions</t>
  </si>
  <si>
    <t>Scope 1</t>
  </si>
  <si>
    <r>
      <t>tCO</t>
    </r>
    <r>
      <rPr>
        <b/>
        <vertAlign val="subscript"/>
        <sz val="8"/>
        <color rgb="FF000000"/>
        <rFont val="Arial"/>
        <family val="2"/>
      </rPr>
      <t>2</t>
    </r>
    <r>
      <rPr>
        <b/>
        <sz val="8"/>
        <color rgb="FF000000"/>
        <rFont val="Arial"/>
        <family val="2"/>
      </rPr>
      <t>e</t>
    </r>
  </si>
  <si>
    <r>
      <rPr>
        <sz val="8"/>
        <color rgb="FF000000"/>
        <rFont val="Arial"/>
        <family val="2"/>
      </rPr>
      <t xml:space="preserve">– Curragh </t>
    </r>
    <r>
      <rPr>
        <vertAlign val="superscript"/>
        <sz val="8"/>
        <color rgb="FF000000"/>
        <rFont val="Arial"/>
        <family val="2"/>
      </rPr>
      <t>(1)</t>
    </r>
  </si>
  <si>
    <r>
      <t>tCO</t>
    </r>
    <r>
      <rPr>
        <vertAlign val="subscript"/>
        <sz val="8"/>
        <color rgb="FF000000"/>
        <rFont val="Arial"/>
        <family val="2"/>
      </rPr>
      <t>2</t>
    </r>
    <r>
      <rPr>
        <sz val="8"/>
        <color rgb="FF000000"/>
        <rFont val="Arial"/>
        <family val="2"/>
      </rPr>
      <t>e</t>
    </r>
  </si>
  <si>
    <r>
      <rPr>
        <sz val="8"/>
        <color rgb="FF000000"/>
        <rFont val="Arial"/>
        <family val="2"/>
      </rPr>
      <t>– U.S. Operations</t>
    </r>
    <r>
      <rPr>
        <vertAlign val="superscript"/>
        <sz val="8"/>
        <color rgb="FF000000"/>
        <rFont val="Arial"/>
        <family val="2"/>
      </rPr>
      <t xml:space="preserve"> (2)</t>
    </r>
  </si>
  <si>
    <t>Corrected 03/13/2024</t>
  </si>
  <si>
    <t>Scope 2</t>
  </si>
  <si>
    <t>We need to correct our scope 2 emissions for last year.  I learned that we reported considerable amount of power that was for CNX and Next Era (VAM).</t>
  </si>
  <si>
    <r>
      <t xml:space="preserve">– Curragh </t>
    </r>
    <r>
      <rPr>
        <vertAlign val="superscript"/>
        <sz val="8"/>
        <color rgb="FF000000"/>
        <rFont val="Arial"/>
        <family val="2"/>
      </rPr>
      <t>(1)</t>
    </r>
  </si>
  <si>
    <t>2022 should be 157,088.  See Note 7 below.</t>
  </si>
  <si>
    <t>Coronado Total Scope 1 and Scope 2 emissions</t>
  </si>
  <si>
    <r>
      <t>mtCO</t>
    </r>
    <r>
      <rPr>
        <b/>
        <vertAlign val="subscript"/>
        <sz val="8"/>
        <color rgb="FF000000"/>
        <rFont val="Arial"/>
        <family val="2"/>
      </rPr>
      <t>2</t>
    </r>
    <r>
      <rPr>
        <b/>
        <sz val="8"/>
        <color rgb="FF000000"/>
        <rFont val="Arial"/>
        <family val="2"/>
      </rPr>
      <t>e</t>
    </r>
  </si>
  <si>
    <t>GHG emissions intensity (ROM Tonnes)</t>
  </si>
  <si>
    <r>
      <t>tCO</t>
    </r>
    <r>
      <rPr>
        <b/>
        <vertAlign val="subscript"/>
        <sz val="8"/>
        <color rgb="FF000000"/>
        <rFont val="Arial"/>
        <family val="2"/>
      </rPr>
      <t>2</t>
    </r>
    <r>
      <rPr>
        <b/>
        <sz val="8"/>
        <color rgb="FF000000"/>
        <rFont val="Arial"/>
        <family val="2"/>
      </rPr>
      <t>e/t coal</t>
    </r>
  </si>
  <si>
    <r>
      <t xml:space="preserve">GHG emissions intensity </t>
    </r>
    <r>
      <rPr>
        <vertAlign val="superscript"/>
        <sz val="8"/>
        <color rgb="FF000000"/>
        <rFont val="Arial"/>
        <family val="2"/>
      </rPr>
      <t>(4)</t>
    </r>
  </si>
  <si>
    <t>SALEABLE COAL</t>
  </si>
  <si>
    <r>
      <t xml:space="preserve">– Curragh </t>
    </r>
    <r>
      <rPr>
        <vertAlign val="superscript"/>
        <sz val="8"/>
        <color rgb="FF000000"/>
        <rFont val="Arial"/>
        <family val="2"/>
      </rPr>
      <t>(6)</t>
    </r>
  </si>
  <si>
    <r>
      <rPr>
        <sz val="8"/>
        <color rgb="FF000000"/>
        <rFont val="Arial"/>
        <family val="2"/>
      </rPr>
      <t>tCO</t>
    </r>
    <r>
      <rPr>
        <vertAlign val="subscript"/>
        <sz val="8"/>
        <color rgb="FF000000"/>
        <rFont val="Arial"/>
        <family val="2"/>
      </rPr>
      <t>2</t>
    </r>
    <r>
      <rPr>
        <sz val="8"/>
        <color rgb="FF000000"/>
        <rFont val="Arial"/>
        <family val="2"/>
      </rPr>
      <t>e/t coal</t>
    </r>
  </si>
  <si>
    <r>
      <t xml:space="preserve">– Curragh </t>
    </r>
    <r>
      <rPr>
        <sz val="6"/>
        <color rgb="FF000000"/>
        <rFont val="Arial"/>
        <family val="2"/>
      </rPr>
      <t>(6)</t>
    </r>
  </si>
  <si>
    <r>
      <rPr>
        <sz val="8"/>
        <color rgb="FF000000"/>
        <rFont val="Arial"/>
        <family val="2"/>
      </rPr>
      <t>– U.S. Operations</t>
    </r>
    <r>
      <rPr>
        <vertAlign val="superscript"/>
        <sz val="8"/>
        <color rgb="FF000000"/>
        <rFont val="Arial"/>
        <family val="2"/>
      </rPr>
      <t xml:space="preserve"> (3)(4)</t>
    </r>
  </si>
  <si>
    <r>
      <t>tCO</t>
    </r>
    <r>
      <rPr>
        <vertAlign val="subscript"/>
        <sz val="8"/>
        <color rgb="FF000000"/>
        <rFont val="Arial"/>
        <family val="2"/>
      </rPr>
      <t>2</t>
    </r>
    <r>
      <rPr>
        <sz val="8"/>
        <color rgb="FF000000"/>
        <rFont val="Arial"/>
        <family val="2"/>
      </rPr>
      <t>e/t coal</t>
    </r>
  </si>
  <si>
    <r>
      <t>– U.S. Operations</t>
    </r>
    <r>
      <rPr>
        <vertAlign val="superscript"/>
        <sz val="8"/>
        <color rgb="FF000000"/>
        <rFont val="Arial"/>
        <family val="2"/>
      </rPr>
      <t xml:space="preserve"> (3)</t>
    </r>
  </si>
  <si>
    <t>Energy consumed &amp; produced</t>
  </si>
  <si>
    <t>Total fuel consumption from non-renewable sources</t>
  </si>
  <si>
    <t>GJ</t>
  </si>
  <si>
    <t>– U.S. Operations</t>
  </si>
  <si>
    <t>Total fuel consumption from  renewable sources</t>
  </si>
  <si>
    <t>Total energy consumed</t>
  </si>
  <si>
    <r>
      <rPr>
        <sz val="8"/>
        <color rgb="FF000000"/>
        <rFont val="Arial"/>
        <family val="2"/>
      </rPr>
      <t>– U.S. Operations</t>
    </r>
    <r>
      <rPr>
        <vertAlign val="superscript"/>
        <sz val="8"/>
        <color rgb="FF000000"/>
        <rFont val="Arial"/>
        <family val="2"/>
      </rPr>
      <t xml:space="preserve"> (3)</t>
    </r>
  </si>
  <si>
    <r>
      <rPr>
        <b/>
        <sz val="8"/>
        <color rgb="FF000000"/>
        <rFont val="Arial"/>
        <family val="2"/>
      </rPr>
      <t>Energy produced (Metallurgical Coal)</t>
    </r>
    <r>
      <rPr>
        <vertAlign val="superscript"/>
        <sz val="8"/>
        <color rgb="FF000000"/>
        <rFont val="Arial"/>
        <family val="2"/>
      </rPr>
      <t xml:space="preserve"> </t>
    </r>
    <r>
      <rPr>
        <vertAlign val="superscript"/>
        <sz val="6"/>
        <color rgb="FF000000"/>
        <rFont val="Arial"/>
        <family val="2"/>
      </rPr>
      <t xml:space="preserve">(5) </t>
    </r>
  </si>
  <si>
    <t>Energy produced (Thermal Coal)</t>
  </si>
  <si>
    <t xml:space="preserve">– U.S. Operations </t>
  </si>
  <si>
    <t>(1) 2019-2024 Curragh Scope 1 and 2 emissions (operational emissions), total energy produced and consumed is the based on NGER data reporting periods (i.e 1 July to 30 June), reported to the Clean Energy Regulator, Australia. 2025 data is based on ASRS reporting period (1 Jan 25 to 31 Dec 25).</t>
  </si>
  <si>
    <t xml:space="preserve">(3) Total Scope 1 and 2 and GHG Intensity values have been calculated using conversions from the applicable EPA guidance documents.  </t>
  </si>
  <si>
    <t>(4) U.S Operations - GHG emissions intensity = Total Scope 1 and 2 emissions divided by total fiscal year coal production in ROM tonnes.</t>
  </si>
  <si>
    <t>(5) Energy produced represents the energy value of the coal produced that year.</t>
  </si>
  <si>
    <t>(6) GHG emissions intensity = Total Scope 1 and 2 emissions divided by production in ROM tonnes.</t>
  </si>
  <si>
    <t>Environment – performance data</t>
  </si>
  <si>
    <r>
      <rPr>
        <b/>
        <sz val="8"/>
        <color rgb="FFFFFFFF"/>
        <rFont val="Arial"/>
        <family val="2"/>
      </rPr>
      <t>Metrics</t>
    </r>
    <r>
      <rPr>
        <b/>
        <vertAlign val="superscript"/>
        <sz val="8"/>
        <color rgb="FFFFFFFF"/>
        <rFont val="Arial"/>
        <family val="2"/>
      </rPr>
      <t xml:space="preserve"> (1)</t>
    </r>
  </si>
  <si>
    <t>Water Management</t>
  </si>
  <si>
    <t>Water consumption by source – Surface water</t>
  </si>
  <si>
    <t>ML</t>
  </si>
  <si>
    <r>
      <t>– U.S. Operations</t>
    </r>
    <r>
      <rPr>
        <vertAlign val="superscript"/>
        <sz val="8"/>
        <color rgb="FF000000"/>
        <rFont val="Arial"/>
        <family val="2"/>
      </rPr>
      <t xml:space="preserve"> </t>
    </r>
    <r>
      <rPr>
        <vertAlign val="superscript"/>
        <sz val="7"/>
        <color rgb="FF000000"/>
        <rFont val="Arial"/>
        <family val="2"/>
      </rPr>
      <t>(13)</t>
    </r>
  </si>
  <si>
    <t>Water consumption by source – Groundwater</t>
  </si>
  <si>
    <r>
      <t xml:space="preserve">– Curragh </t>
    </r>
    <r>
      <rPr>
        <vertAlign val="superscript"/>
        <sz val="8"/>
        <color rgb="FF000000"/>
        <rFont val="Arial"/>
        <family val="2"/>
      </rPr>
      <t>(2)</t>
    </r>
  </si>
  <si>
    <t>Water consumption by source – Recycled/reclaimed water</t>
  </si>
  <si>
    <t>Total water consumed - Freshwater</t>
  </si>
  <si>
    <t>percentage</t>
  </si>
  <si>
    <t>Total water consumed - Recycled/reclaimed</t>
  </si>
  <si>
    <t>Water discharged - to surface water or injected in wells</t>
  </si>
  <si>
    <t>Water provided to third parties</t>
  </si>
  <si>
    <r>
      <t xml:space="preserve">Water intensity </t>
    </r>
    <r>
      <rPr>
        <b/>
        <vertAlign val="superscript"/>
        <sz val="8"/>
        <color theme="0"/>
        <rFont val="Arial"/>
        <family val="2"/>
      </rPr>
      <t>(3)</t>
    </r>
  </si>
  <si>
    <t>ML/Mt</t>
  </si>
  <si>
    <r>
      <t xml:space="preserve">– U.S. Operations </t>
    </r>
    <r>
      <rPr>
        <vertAlign val="superscript"/>
        <sz val="8"/>
        <color rgb="FF000000"/>
        <rFont val="Arial"/>
        <family val="2"/>
      </rPr>
      <t>(4)</t>
    </r>
  </si>
  <si>
    <t>Biodiversity, rehabilitation and land use</t>
  </si>
  <si>
    <t>Land owned, leased or managed</t>
  </si>
  <si>
    <r>
      <t xml:space="preserve">– Curragh </t>
    </r>
    <r>
      <rPr>
        <vertAlign val="superscript"/>
        <sz val="8"/>
        <color rgb="FF000000"/>
        <rFont val="Arial"/>
        <family val="2"/>
      </rPr>
      <t>(5)</t>
    </r>
  </si>
  <si>
    <t>ha</t>
  </si>
  <si>
    <r>
      <t xml:space="preserve">– U.S. Operations </t>
    </r>
    <r>
      <rPr>
        <vertAlign val="superscript"/>
        <sz val="8"/>
        <color rgb="FF000000"/>
        <rFont val="Arial"/>
        <family val="2"/>
      </rPr>
      <t>(6)</t>
    </r>
  </si>
  <si>
    <t>Land disturbed by mining activities</t>
  </si>
  <si>
    <t>Land rehabilitated</t>
  </si>
  <si>
    <r>
      <t>Metrics</t>
    </r>
    <r>
      <rPr>
        <b/>
        <vertAlign val="superscript"/>
        <sz val="8"/>
        <color theme="0"/>
        <rFont val="Arial"/>
        <family val="2"/>
      </rPr>
      <t xml:space="preserve"> (1)</t>
    </r>
  </si>
  <si>
    <t>Land rehabilitated in the reporting period</t>
  </si>
  <si>
    <r>
      <rPr>
        <b/>
        <sz val="8"/>
        <color rgb="FFFFFFFF"/>
        <rFont val="Arial"/>
        <family val="2"/>
      </rPr>
      <t xml:space="preserve">Land protected </t>
    </r>
    <r>
      <rPr>
        <b/>
        <vertAlign val="superscript"/>
        <sz val="8"/>
        <color rgb="FFFFFFFF"/>
        <rFont val="Arial"/>
        <family val="2"/>
      </rPr>
      <t>(7)</t>
    </r>
    <r>
      <rPr>
        <b/>
        <sz val="8"/>
        <color rgb="FFFFFFFF"/>
        <rFont val="Arial"/>
        <family val="2"/>
      </rPr>
      <t xml:space="preserve"> or restored </t>
    </r>
    <r>
      <rPr>
        <b/>
        <vertAlign val="superscript"/>
        <sz val="8"/>
        <color rgb="FFFFFFFF"/>
        <rFont val="Arial"/>
        <family val="2"/>
      </rPr>
      <t>(8)</t>
    </r>
  </si>
  <si>
    <t xml:space="preserve">Land leased for agriculture </t>
  </si>
  <si>
    <r>
      <t xml:space="preserve">Waste management </t>
    </r>
    <r>
      <rPr>
        <b/>
        <vertAlign val="superscript"/>
        <sz val="8"/>
        <color theme="0"/>
        <rFont val="Arial"/>
        <family val="2"/>
      </rPr>
      <t>(18)</t>
    </r>
  </si>
  <si>
    <r>
      <rPr>
        <b/>
        <sz val="8"/>
        <color rgb="FFFFFFFF"/>
        <rFont val="Arial"/>
        <family val="2"/>
      </rPr>
      <t xml:space="preserve">Waste directed to disposal </t>
    </r>
    <r>
      <rPr>
        <b/>
        <vertAlign val="superscript"/>
        <sz val="8"/>
        <color rgb="FFFFFFFF"/>
        <rFont val="Arial"/>
        <family val="2"/>
      </rPr>
      <t>(9)</t>
    </r>
  </si>
  <si>
    <t>– Curragh Total</t>
  </si>
  <si>
    <t>t</t>
  </si>
  <si>
    <r>
      <t xml:space="preserve">General Waste </t>
    </r>
    <r>
      <rPr>
        <vertAlign val="superscript"/>
        <sz val="8"/>
        <color rgb="FF000000"/>
        <rFont val="Arial"/>
        <family val="2"/>
      </rPr>
      <t>(15)</t>
    </r>
  </si>
  <si>
    <t>Timber</t>
  </si>
  <si>
    <t>Oily Water</t>
  </si>
  <si>
    <r>
      <rPr>
        <sz val="8"/>
        <color rgb="FF000000"/>
        <rFont val="Arial"/>
        <family val="2"/>
      </rPr>
      <t xml:space="preserve">Regulated Waste </t>
    </r>
    <r>
      <rPr>
        <vertAlign val="superscript"/>
        <sz val="8"/>
        <color rgb="FF000000"/>
        <rFont val="Arial"/>
        <family val="2"/>
      </rPr>
      <t>(17)</t>
    </r>
  </si>
  <si>
    <t>General Waste(19)</t>
  </si>
  <si>
    <t>Contaminated Soil</t>
  </si>
  <si>
    <r>
      <rPr>
        <b/>
        <sz val="8"/>
        <color rgb="FFFFFFFF"/>
        <rFont val="Arial"/>
        <family val="2"/>
      </rPr>
      <t xml:space="preserve">Waste diverted from disposal </t>
    </r>
    <r>
      <rPr>
        <b/>
        <vertAlign val="superscript"/>
        <sz val="8"/>
        <color rgb="FFFFFFFF"/>
        <rFont val="Arial"/>
        <family val="2"/>
      </rPr>
      <t>(10)</t>
    </r>
  </si>
  <si>
    <t>Waste Oil (CreateEnergy)</t>
  </si>
  <si>
    <t>Recycled Material From Accommodation</t>
  </si>
  <si>
    <t>Cardboard and Paper</t>
  </si>
  <si>
    <t>Metal</t>
  </si>
  <si>
    <t>Plastics</t>
  </si>
  <si>
    <t>Oil + Oil Filters</t>
  </si>
  <si>
    <t>Sewage/Sludge</t>
  </si>
  <si>
    <t>Grease Trap</t>
  </si>
  <si>
    <t>Waste Cooking Oil</t>
  </si>
  <si>
    <t>Coolants</t>
  </si>
  <si>
    <r>
      <rPr>
        <sz val="8"/>
        <color rgb="FF000000"/>
        <rFont val="Arial"/>
        <family val="2"/>
      </rPr>
      <t xml:space="preserve">– U.S. Operations </t>
    </r>
    <r>
      <rPr>
        <vertAlign val="superscript"/>
        <sz val="8"/>
        <color rgb="FF000000"/>
        <rFont val="Arial"/>
        <family val="2"/>
      </rPr>
      <t>(11)</t>
    </r>
  </si>
  <si>
    <t>Waste Oil</t>
  </si>
  <si>
    <t>Electronics</t>
  </si>
  <si>
    <t>Batteries</t>
  </si>
  <si>
    <t>Tires</t>
  </si>
  <si>
    <t>Waste directed to disposal</t>
  </si>
  <si>
    <t>Waste diverted from disposal</t>
  </si>
  <si>
    <t>Air Quality</t>
  </si>
  <si>
    <r>
      <t>PM10 emissions</t>
    </r>
    <r>
      <rPr>
        <vertAlign val="superscript"/>
        <sz val="8"/>
        <color theme="0"/>
        <rFont val="Arial"/>
        <family val="2"/>
      </rPr>
      <t xml:space="preserve"> (16)</t>
    </r>
  </si>
  <si>
    <r>
      <rPr>
        <sz val="8"/>
        <color rgb="FF000000"/>
        <rFont val="Arial"/>
        <family val="2"/>
      </rPr>
      <t xml:space="preserve">– Curragh (point and fugitive) </t>
    </r>
    <r>
      <rPr>
        <vertAlign val="superscript"/>
        <sz val="8"/>
        <color rgb="FF000000"/>
        <rFont val="Arial"/>
        <family val="2"/>
      </rPr>
      <t xml:space="preserve">(12) </t>
    </r>
  </si>
  <si>
    <t>Tailings Management</t>
  </si>
  <si>
    <t>Number of incidents associated with spillage or failure of Tailings Storage Facilities (TSF)</t>
  </si>
  <si>
    <r>
      <rPr>
        <b/>
        <sz val="8"/>
        <color rgb="FFFFFFFF"/>
        <rFont val="Arial"/>
        <family val="2"/>
      </rPr>
      <t>TARGET: Zero Cultural heritage or significant environmental incidents</t>
    </r>
    <r>
      <rPr>
        <b/>
        <sz val="6"/>
        <color rgb="FFFFFFFF"/>
        <rFont val="Arial"/>
        <family val="2"/>
      </rPr>
      <t xml:space="preserve"> </t>
    </r>
    <r>
      <rPr>
        <vertAlign val="superscript"/>
        <sz val="8"/>
        <color rgb="FFFFFFFF"/>
        <rFont val="Arial"/>
        <family val="2"/>
      </rPr>
      <t>(14)</t>
    </r>
  </si>
  <si>
    <t>- Curragh</t>
  </si>
  <si>
    <t>(1) U.S. operations have been amalgamated for current and previous (FY24, FY23, FY22, FY21, FY20, FY19 and FY18) reporting years to align with our Safety and Health Reporting.</t>
  </si>
  <si>
    <t>(2) Curragh Groundwater data from the annual Associated Water Take reports submitted to the Department of Natural Resources, Mines, Energy, Queensland, Australia. Data is based on modelling and estimations. A significant percentage of groundwater is included in the reclaimed water. Reporting period is November 2024 to October 2025.</t>
  </si>
  <si>
    <t>(3) Total water consumption (excluding recycled), divided by quantity of saleable coal produced.</t>
  </si>
  <si>
    <t xml:space="preserve">(4) U.S. operations has been amalgamated for reporting by geographical location to align with our Safety and Health reporting. </t>
  </si>
  <si>
    <t>(5) Total area covered by Mining Leases and Mineral Development Licenses.</t>
  </si>
  <si>
    <t>(6) U.S. leased area reflects the total permitted area, thus mining footprint. Note the total owned and leased area is 49,869 ha.</t>
  </si>
  <si>
    <t>(7) Area protected from any harm during operational activities, environment remains in its original state with a healthy and functioning ecosystem.</t>
  </si>
  <si>
    <t>(8) Area that was used during or affected by operational activities, and where remediation measures have either restored the environment to its original state or to a state where it has a healthy and functioning ecosystem.</t>
  </si>
  <si>
    <t>(9) Waste directed to disposal is waste sent to landfill.</t>
  </si>
  <si>
    <t>(10) Waste diverted from disposal is waste diverted from landfill and recycled.</t>
  </si>
  <si>
    <t>(11) FY21, FY22, FY23, FY24 and FY25 Includes batteries recycled in the U.S.</t>
  </si>
  <si>
    <t xml:space="preserve">(12) NPI Report for 24/25 Curragh Mine. Point source emissions are emitted through a single point source into the atmosphere. Fugitive emissions are emissions that are not released through a single point source (e.g. exhaust emissions from vehicles, emissions from materials handling etc.)  </t>
  </si>
  <si>
    <t xml:space="preserve">(13) FY21, FY22,  FY23, FY24 and FY25 Water utilised by the Saunders Plant has been classified as Recycled Water since the plant make-up water is pumped from the refuse ponds as well as the adjacent deep mine. </t>
  </si>
  <si>
    <t>(14) Significant environmental incident is defined as an unplanned event that causes or has the potential to cause material or serious harm to the environment including impacts that are widespread, long term, irreversible or affect sensitive environmental values. Significant cultural heritage incident is defined as serious and long term damage through the loss of trust and respect of stakeholder groups.</t>
  </si>
  <si>
    <t>(15) Not disclosed (ND) covers years where no data is available.</t>
  </si>
  <si>
    <t>(16) PM 10 stands for particulate matter 10 micrometers or less in diameter.</t>
  </si>
  <si>
    <t>(17) Regulated waste means commercial or industrial waste listed in Schedule 9 of the Environmental Protection Regulation 2019.</t>
  </si>
  <si>
    <t>(18) Waste categories to be reviewed and adjusted each year depending on relevant waste streams.</t>
  </si>
  <si>
    <t>(19) Logan Division general waste data is pending and estimated to be similar to FY24.</t>
  </si>
  <si>
    <t>Safety &amp; Health – performance data</t>
  </si>
  <si>
    <t>Fatal Incidents</t>
  </si>
  <si>
    <t>– Australian Operations</t>
  </si>
  <si>
    <t>Total Recordable Injuries</t>
  </si>
  <si>
    <r>
      <t xml:space="preserve">– Australian Operations - TRIFR </t>
    </r>
    <r>
      <rPr>
        <vertAlign val="superscript"/>
        <sz val="8"/>
        <color theme="1"/>
        <rFont val="Arial"/>
        <family val="2"/>
      </rPr>
      <t>(1)</t>
    </r>
  </si>
  <si>
    <r>
      <t xml:space="preserve">– U.S. Operations - TRIR </t>
    </r>
    <r>
      <rPr>
        <vertAlign val="superscript"/>
        <sz val="8"/>
        <color theme="1"/>
        <rFont val="Arial"/>
        <family val="2"/>
      </rPr>
      <t>(2)</t>
    </r>
  </si>
  <si>
    <t>Lost Time Injuries</t>
  </si>
  <si>
    <r>
      <t>– Australian Operations - LTI</t>
    </r>
    <r>
      <rPr>
        <sz val="5"/>
        <color theme="1"/>
        <rFont val="Arial"/>
        <family val="2"/>
      </rPr>
      <t xml:space="preserve">  </t>
    </r>
    <r>
      <rPr>
        <vertAlign val="superscript"/>
        <sz val="8"/>
        <color theme="1"/>
        <rFont val="Arial"/>
        <family val="2"/>
      </rPr>
      <t>(3)</t>
    </r>
  </si>
  <si>
    <r>
      <t xml:space="preserve">– U.S. Operations - NFDL </t>
    </r>
    <r>
      <rPr>
        <vertAlign val="superscript"/>
        <sz val="8"/>
        <color theme="1"/>
        <rFont val="Arial"/>
        <family val="2"/>
      </rPr>
      <t>(4)</t>
    </r>
  </si>
  <si>
    <t>Number of recordable work-related injuries</t>
  </si>
  <si>
    <t>Number of hours worked</t>
  </si>
  <si>
    <t xml:space="preserve">(1) Total Recordable Injury Frequency Rate (TRIFR), is the number of fatalities, lost time injuries, restricted work cases or substitute work or other injuries requiring medical treatment multiplied by 1 million divided by total employees hours worked. </t>
  </si>
  <si>
    <t>(2) Total Recordable Incident Rate (TRIR) is a mathematical computation that takes into account how many Mine Safety and Health Administration (MHSA) recordable incidents a company has, multiplied by 200,000 divided by total number of hours worked. It is typically presented on a 12 month calendar basis.</t>
  </si>
  <si>
    <t>(3) Lost time injury (LTI) means an injury resulting in an injured person being unable to work the next day or a longer period, whether they are rostered to work or not.</t>
  </si>
  <si>
    <t>(4) NONFATAL, DAYS LOST (NFDL) cases means occupational injuries that result in loss of one or more days from the employee's scheduled work, or days of limited or restricted activity while at work.</t>
  </si>
  <si>
    <t>People &amp; Culture – performance data</t>
  </si>
  <si>
    <r>
      <t>2025</t>
    </r>
    <r>
      <rPr>
        <b/>
        <vertAlign val="superscript"/>
        <sz val="8"/>
        <color theme="0"/>
        <rFont val="Arial"/>
        <family val="2"/>
      </rPr>
      <t xml:space="preserve"> (1)</t>
    </r>
  </si>
  <si>
    <r>
      <t>2024</t>
    </r>
    <r>
      <rPr>
        <b/>
        <vertAlign val="superscript"/>
        <sz val="8"/>
        <color theme="0"/>
        <rFont val="Arial"/>
        <family val="2"/>
      </rPr>
      <t xml:space="preserve"> (1)</t>
    </r>
  </si>
  <si>
    <r>
      <t>2023</t>
    </r>
    <r>
      <rPr>
        <b/>
        <vertAlign val="superscript"/>
        <sz val="8"/>
        <color theme="0"/>
        <rFont val="Arial"/>
        <family val="2"/>
      </rPr>
      <t xml:space="preserve"> (1)</t>
    </r>
  </si>
  <si>
    <r>
      <t>2022</t>
    </r>
    <r>
      <rPr>
        <b/>
        <vertAlign val="superscript"/>
        <sz val="8"/>
        <color theme="0"/>
        <rFont val="Arial"/>
        <family val="2"/>
      </rPr>
      <t xml:space="preserve"> (1)</t>
    </r>
  </si>
  <si>
    <r>
      <t>2021</t>
    </r>
    <r>
      <rPr>
        <b/>
        <vertAlign val="superscript"/>
        <sz val="8"/>
        <color theme="0"/>
        <rFont val="Arial"/>
        <family val="2"/>
      </rPr>
      <t xml:space="preserve"> (1)</t>
    </r>
  </si>
  <si>
    <r>
      <t>2020</t>
    </r>
    <r>
      <rPr>
        <b/>
        <vertAlign val="superscript"/>
        <sz val="8"/>
        <color theme="0"/>
        <rFont val="Arial"/>
        <family val="2"/>
      </rPr>
      <t xml:space="preserve"> (1)</t>
    </r>
  </si>
  <si>
    <t>Workforce headcount</t>
  </si>
  <si>
    <t>Employees</t>
  </si>
  <si>
    <t>Contractors</t>
  </si>
  <si>
    <t>Full time</t>
  </si>
  <si>
    <t>Part time</t>
  </si>
  <si>
    <t>– Curragh / Brisbane</t>
  </si>
  <si>
    <t>– Beckley / Connecticut</t>
  </si>
  <si>
    <t>Coronado Group total number</t>
  </si>
  <si>
    <t>Employment - New</t>
  </si>
  <si>
    <t>Gender</t>
  </si>
  <si>
    <t>Age group</t>
  </si>
  <si>
    <t>Female</t>
  </si>
  <si>
    <t>Male</t>
  </si>
  <si>
    <t>&lt;30 years</t>
  </si>
  <si>
    <t>30–50 years</t>
  </si>
  <si>
    <t>&gt;50 years</t>
  </si>
  <si>
    <t>– Australian Operations total number</t>
  </si>
  <si>
    <t>– Australian Operations percentage</t>
  </si>
  <si>
    <t>– U.S. Operations total number</t>
  </si>
  <si>
    <t>– U.S. Operations percentage</t>
  </si>
  <si>
    <t>Total number of new employees</t>
  </si>
  <si>
    <r>
      <t xml:space="preserve">Employment - Turnover </t>
    </r>
    <r>
      <rPr>
        <b/>
        <vertAlign val="superscript"/>
        <sz val="8"/>
        <color theme="0"/>
        <rFont val="Arial"/>
        <family val="2"/>
      </rPr>
      <t>(2)</t>
    </r>
  </si>
  <si>
    <t>Turnover - All %</t>
  </si>
  <si>
    <t>Turnover - Voluntary %</t>
  </si>
  <si>
    <t>Total number and rate of employee turnover</t>
  </si>
  <si>
    <r>
      <t xml:space="preserve">Employee Parental Leave </t>
    </r>
    <r>
      <rPr>
        <b/>
        <vertAlign val="superscript"/>
        <sz val="8"/>
        <color theme="0"/>
        <rFont val="Arial"/>
        <family val="2"/>
      </rPr>
      <t>(3)</t>
    </r>
  </si>
  <si>
    <t>Parental leave - total number of employees</t>
  </si>
  <si>
    <t>Return to work - total number of employees</t>
  </si>
  <si>
    <t>Due to return - total number of employees</t>
  </si>
  <si>
    <t>Return rate - percentage</t>
  </si>
  <si>
    <r>
      <t xml:space="preserve">Employee Training </t>
    </r>
    <r>
      <rPr>
        <b/>
        <vertAlign val="superscript"/>
        <sz val="8"/>
        <color theme="0"/>
        <rFont val="Arial"/>
        <family val="2"/>
      </rPr>
      <t>(7)</t>
    </r>
  </si>
  <si>
    <t>Average hours of training per year per employee - Australia</t>
  </si>
  <si>
    <t>Average hours of training per year per employee - U.S.</t>
  </si>
  <si>
    <t xml:space="preserve">Total average hours of training per year per employee </t>
  </si>
  <si>
    <t>Diversity and Equal Opportunity</t>
  </si>
  <si>
    <t>Australian Operations</t>
  </si>
  <si>
    <r>
      <rPr>
        <sz val="8"/>
        <color rgb="FF000000"/>
        <rFont val="Arial"/>
        <family val="2"/>
      </rPr>
      <t xml:space="preserve">– General Managers, Senior Managers, Senior professionals total </t>
    </r>
    <r>
      <rPr>
        <vertAlign val="superscript"/>
        <sz val="8"/>
        <color rgb="FF000000"/>
        <rFont val="Arial"/>
        <family val="2"/>
      </rPr>
      <t>(4)</t>
    </r>
  </si>
  <si>
    <r>
      <t xml:space="preserve">– General Managers, Senior Managers, Senior professionals percentage </t>
    </r>
    <r>
      <rPr>
        <vertAlign val="superscript"/>
        <sz val="8"/>
        <color rgb="FF000000"/>
        <rFont val="Arial"/>
        <family val="2"/>
      </rPr>
      <t>(4)</t>
    </r>
  </si>
  <si>
    <t>– All employees percentage</t>
  </si>
  <si>
    <t>– All employees total</t>
  </si>
  <si>
    <t>U.S. Operations</t>
  </si>
  <si>
    <r>
      <rPr>
        <sz val="8"/>
        <color rgb="FF000000"/>
        <rFont val="Arial"/>
        <family val="2"/>
      </rPr>
      <t xml:space="preserve">– General Managers, Senior Managers, Senior professionals total </t>
    </r>
    <r>
      <rPr>
        <vertAlign val="superscript"/>
        <sz val="8"/>
        <color rgb="FF000000"/>
        <rFont val="Arial"/>
        <family val="2"/>
      </rPr>
      <t>(5)</t>
    </r>
  </si>
  <si>
    <r>
      <t xml:space="preserve">– General Managers, Senior Managers, Senior professionals percentage </t>
    </r>
    <r>
      <rPr>
        <vertAlign val="superscript"/>
        <sz val="8"/>
        <color rgb="FF000000"/>
        <rFont val="Arial"/>
        <family val="2"/>
      </rPr>
      <t>(5)</t>
    </r>
  </si>
  <si>
    <t>Coronado Group</t>
  </si>
  <si>
    <r>
      <t xml:space="preserve">– Coronado Board Members total number </t>
    </r>
    <r>
      <rPr>
        <vertAlign val="superscript"/>
        <sz val="8"/>
        <color rgb="FF000000"/>
        <rFont val="Arial"/>
        <family val="2"/>
      </rPr>
      <t>(8)</t>
    </r>
  </si>
  <si>
    <t>– Coronado Board Members percentage</t>
  </si>
  <si>
    <r>
      <t xml:space="preserve">– Coronado Executive Team total number </t>
    </r>
    <r>
      <rPr>
        <vertAlign val="superscript"/>
        <sz val="8"/>
        <color rgb="FF000000"/>
        <rFont val="Arial"/>
        <family val="2"/>
      </rPr>
      <t>(9)</t>
    </r>
  </si>
  <si>
    <t>– Coronado Executive Team percentage</t>
  </si>
  <si>
    <r>
      <t xml:space="preserve">– Managers </t>
    </r>
    <r>
      <rPr>
        <vertAlign val="superscript"/>
        <sz val="8"/>
        <color rgb="FF000000"/>
        <rFont val="Arial"/>
        <family val="2"/>
      </rPr>
      <t xml:space="preserve">(6) </t>
    </r>
    <r>
      <rPr>
        <sz val="8"/>
        <color rgb="FF000000"/>
        <rFont val="Arial"/>
        <family val="2"/>
      </rPr>
      <t>total number</t>
    </r>
  </si>
  <si>
    <r>
      <t xml:space="preserve">– Managers </t>
    </r>
    <r>
      <rPr>
        <vertAlign val="superscript"/>
        <sz val="8"/>
        <color rgb="FF000000"/>
        <rFont val="Arial"/>
        <family val="2"/>
      </rPr>
      <t xml:space="preserve">(6) </t>
    </r>
    <r>
      <rPr>
        <sz val="8"/>
        <color rgb="FF000000"/>
        <rFont val="Arial"/>
        <family val="2"/>
      </rPr>
      <t>percentage</t>
    </r>
  </si>
  <si>
    <t>– All employees total number</t>
  </si>
  <si>
    <t>Annual Compensation ratio</t>
  </si>
  <si>
    <r>
      <rPr>
        <sz val="8"/>
        <color rgb="FF000000"/>
        <rFont val="Arial"/>
        <family val="2"/>
      </rPr>
      <t>Ratio of CEO compensation to median average employee compensation</t>
    </r>
    <r>
      <rPr>
        <sz val="6"/>
        <color rgb="FF000000"/>
        <rFont val="Arial"/>
        <family val="2"/>
      </rPr>
      <t xml:space="preserve"> </t>
    </r>
    <r>
      <rPr>
        <vertAlign val="superscript"/>
        <sz val="8"/>
        <color rgb="FF000000"/>
        <rFont val="Arial"/>
        <family val="2"/>
      </rPr>
      <t>(10)</t>
    </r>
  </si>
  <si>
    <t>n/a</t>
  </si>
  <si>
    <t>18 to 1</t>
  </si>
  <si>
    <t>11 to 1</t>
  </si>
  <si>
    <t>26 to 1</t>
  </si>
  <si>
    <t>24 to 1</t>
  </si>
  <si>
    <t>Percentage change in annual compensation ratio</t>
  </si>
  <si>
    <t xml:space="preserve">Percentage change </t>
  </si>
  <si>
    <t>TARGET: Increase in First Nations Workforce Participation by FY30</t>
  </si>
  <si>
    <t xml:space="preserve">Australia: 5% Increase in Aboriginal and Torres Strait Islander Peoples' participation in Australia by 2030 </t>
  </si>
  <si>
    <t>TARGET: Increase Female Workforce participation</t>
  </si>
  <si>
    <t>5% increase in female workforce in Australia by FY25  </t>
  </si>
  <si>
    <t>5% increase in females in senior management positions in Australia by FY25  </t>
  </si>
  <si>
    <t>5% Increase in female participation in administrative/professional roles in U.S. by FY25  </t>
  </si>
  <si>
    <t xml:space="preserve">(1) Employees and contractors as at 31 December 2025. Contractors are FTE not headcount. </t>
  </si>
  <si>
    <t>(2) Turnover rate captures terminations of permanent and fixed term contract employees for the period.  Turnover Rate is calculated as the number of terminations for a 12 month period divided by the headcount as at 31 December 2025.</t>
  </si>
  <si>
    <t>(3) All Coronado Australian permanent employees with more than 12 month's service are eligible for parental leave and data covers the Australian operations only.</t>
  </si>
  <si>
    <t>(4) This includes HAY job evaluation points 451 and above. The HAY job evaluation of positions is based the level of Know-How, Problem Solving and Accountability required in each role and determines the level and job size. 451 - 879 includes Middle Management or Senior/Seasoned Professionals.</t>
  </si>
  <si>
    <t>(5) Top 5 layers of "First/Mid Officials and Managers' (as classified by the US Equal Employment Opportunity Classification level 1.1-1-1.2-5).</t>
  </si>
  <si>
    <t>(6) Refer to Footnote 4 and 5.</t>
  </si>
  <si>
    <t>(7) Average training hours  = Total training hours divided by Curragh FTE at 31 December 2025. It includes Curragh workforce only and excludes all contractors, Coronado Australia Holdings employees, US employees and non-executive directors. Excludes SHMS procedures and refresher training.</t>
  </si>
  <si>
    <t>(8) Includes the CEO.</t>
  </si>
  <si>
    <t>(9) CEO and direct reports.</t>
  </si>
  <si>
    <t>(10) The ratio is the annual total compensation of the CEO Compensation, to the median of the annual total compensation of all of our employees other than our CEO.</t>
  </si>
  <si>
    <t>Community – performance data</t>
  </si>
  <si>
    <t>Community contributions</t>
  </si>
  <si>
    <t>Social welfare/ Community Relations</t>
  </si>
  <si>
    <t>Education and Young People</t>
  </si>
  <si>
    <t>Health</t>
  </si>
  <si>
    <t>Other</t>
  </si>
  <si>
    <t>$AUD</t>
  </si>
  <si>
    <t>$USD</t>
  </si>
  <si>
    <t>N/A</t>
  </si>
  <si>
    <t>Financial and in-kind political contributions</t>
  </si>
  <si>
    <t>$</t>
  </si>
  <si>
    <t>Employees in our local community</t>
  </si>
  <si>
    <t>Curragh - nearby Blackwater</t>
  </si>
  <si>
    <t>%</t>
  </si>
  <si>
    <t>Buchanan - Buchanan/Tazewell counties</t>
  </si>
  <si>
    <t>Logan - Logan/Wyoming counties</t>
  </si>
  <si>
    <t>Greenbrier - Greenbrier county</t>
  </si>
  <si>
    <t>Note: Community Spend is noted in AUD for Australian contributions and USD for U.S. contributions</t>
  </si>
  <si>
    <t>Financial Performance</t>
  </si>
  <si>
    <t>EBITDA</t>
  </si>
  <si>
    <t>Previous Year EBITDA</t>
  </si>
  <si>
    <t>$m</t>
  </si>
  <si>
    <t>-</t>
  </si>
  <si>
    <t>Coal Price</t>
  </si>
  <si>
    <t>Sales Volume</t>
  </si>
  <si>
    <t>Cost of Coal Revenue</t>
  </si>
  <si>
    <t>Freight</t>
  </si>
  <si>
    <t>Royalties (inc Stanwell)</t>
  </si>
  <si>
    <t>Assets Held for Sale</t>
  </si>
  <si>
    <t>Corporate / Other</t>
  </si>
  <si>
    <t>Current Year EBITDA</t>
  </si>
  <si>
    <t>Cash Flow</t>
  </si>
  <si>
    <t>Opening Balance previous year</t>
  </si>
  <si>
    <t>Operating Cash Flow</t>
  </si>
  <si>
    <t>Capex</t>
  </si>
  <si>
    <t>Proceeds from disposal of assets held for sale</t>
  </si>
  <si>
    <t xml:space="preserve">Purchase of restricted deposits, net </t>
  </si>
  <si>
    <t>Borrowings</t>
  </si>
  <si>
    <t>Debt issuance costs and other financing costs</t>
  </si>
  <si>
    <t>Dividends</t>
  </si>
  <si>
    <t>Acquisition of Curragh</t>
  </si>
  <si>
    <t>IPO proceeds</t>
  </si>
  <si>
    <t>Proceeds from stock issuance</t>
  </si>
  <si>
    <t>Capital Return</t>
  </si>
  <si>
    <t>Repayment of Borrowings and other financial liabilities</t>
  </si>
  <si>
    <t>Closing Balance current year</t>
  </si>
  <si>
    <t>FY Performance Summary for year end 31/12/2023</t>
  </si>
  <si>
    <t>Item</t>
  </si>
  <si>
    <t>ROM Production</t>
  </si>
  <si>
    <t>Metallurgical Coal Sales</t>
  </si>
  <si>
    <t>Group Realised Metallurgical Coal Price</t>
  </si>
  <si>
    <t>US$</t>
  </si>
  <si>
    <t>Operating Costs Per Tonne Sold</t>
  </si>
  <si>
    <t>Mining Costs Per Tonne Sold</t>
  </si>
  <si>
    <t>Revenue</t>
  </si>
  <si>
    <t>Total Costs and Expenses</t>
  </si>
  <si>
    <t>Reported Net Income after Tax</t>
  </si>
  <si>
    <t>Depreciation and Amortisation</t>
  </si>
  <si>
    <t>Interest Expense (net of income)</t>
  </si>
  <si>
    <t>Other foreign exchange losses (gain)</t>
  </si>
  <si>
    <t>Loss on retirement of debt</t>
  </si>
  <si>
    <t>Income tax (benefit) expense</t>
  </si>
  <si>
    <t>Impairment of assets</t>
  </si>
  <si>
    <t>Uncertain stamp duty position</t>
  </si>
  <si>
    <t>Restructuring costs</t>
  </si>
  <si>
    <t>Losses on idled assets held for sale</t>
  </si>
  <si>
    <t>Gain on disposal of assets held for sale</t>
  </si>
  <si>
    <t>(Decrease) / Increase in provision for discounting and credit losses</t>
  </si>
  <si>
    <t>Adjusted EBITDA</t>
  </si>
  <si>
    <t>Net Cash from Operating Activities</t>
  </si>
  <si>
    <t>Net Debt</t>
  </si>
  <si>
    <t>(124.9)</t>
  </si>
  <si>
    <t>Effective Tax Rate</t>
  </si>
  <si>
    <t>Group Sales Mix</t>
  </si>
  <si>
    <t>Metallurgical Coal</t>
  </si>
  <si>
    <t>Thermal Coal</t>
  </si>
  <si>
    <t>Group Sales Mix (revenue)</t>
  </si>
  <si>
    <t>Group Export Ratio (sales volume)</t>
  </si>
  <si>
    <t>Export</t>
  </si>
  <si>
    <t>Domestic</t>
  </si>
  <si>
    <t>Metallurgical coal realised price</t>
  </si>
  <si>
    <t>Aus</t>
  </si>
  <si>
    <t>US$/t</t>
  </si>
  <si>
    <t>US</t>
  </si>
  <si>
    <t>Saleable Production (Mt)</t>
  </si>
  <si>
    <t>Saleable Production (%)</t>
  </si>
  <si>
    <t> </t>
  </si>
  <si>
    <t>Total Production AUS</t>
  </si>
  <si>
    <t>Total Production US</t>
  </si>
  <si>
    <t>Sales Volumes</t>
  </si>
  <si>
    <t>Revenue ($m)</t>
  </si>
  <si>
    <t>Revenue (%)</t>
  </si>
  <si>
    <t>Total Revenue AUS</t>
  </si>
  <si>
    <t>Total Revenue US</t>
  </si>
  <si>
    <t>Capital Expenditure</t>
  </si>
  <si>
    <t>Mining Cost Per Tonne Sold</t>
  </si>
  <si>
    <t>$/t</t>
  </si>
  <si>
    <t>Total Sales by Region</t>
  </si>
  <si>
    <t>Japan</t>
  </si>
  <si>
    <t>Korea</t>
  </si>
  <si>
    <t>Taiwan</t>
  </si>
  <si>
    <t>China</t>
  </si>
  <si>
    <t>India</t>
  </si>
  <si>
    <t>Germany</t>
  </si>
  <si>
    <t>Brazil</t>
  </si>
  <si>
    <t>Canada</t>
  </si>
  <si>
    <t>Netherlands</t>
  </si>
  <si>
    <t>Total Economic Contribution</t>
  </si>
  <si>
    <t>Total Revenue</t>
  </si>
  <si>
    <t>Million</t>
  </si>
  <si>
    <t>Distributed</t>
  </si>
  <si>
    <t>Tax Paid</t>
  </si>
  <si>
    <t>Royalties (third parties)</t>
  </si>
  <si>
    <t>Government Royalties</t>
  </si>
  <si>
    <t>Salaries &amp; Wages</t>
  </si>
  <si>
    <t>Payments to contractors and suppliers</t>
  </si>
  <si>
    <t>Cash distributions to security holder</t>
  </si>
  <si>
    <t>Memberships and Associations</t>
  </si>
  <si>
    <t>Australian Coal Industry Research Program</t>
  </si>
  <si>
    <t>A$</t>
  </si>
  <si>
    <t>LETA Low Emissions Technology</t>
  </si>
  <si>
    <t>Queensland Resources Council</t>
  </si>
  <si>
    <t>The Australasian Institute of Mining and Metallurgy</t>
  </si>
  <si>
    <t>Coal Australia Limited</t>
  </si>
  <si>
    <t>Fitzroy Basin Association</t>
  </si>
  <si>
    <t>Australian Coal Preparation Society</t>
  </si>
  <si>
    <t>Buchanan County Chamber of Commerce</t>
  </si>
  <si>
    <t>Chamber of Commerce of the Bluefields</t>
  </si>
  <si>
    <t>Virginia Oil and Gas Association</t>
  </si>
  <si>
    <t>West Virginia Chamber of Commerce</t>
  </si>
  <si>
    <t>Kanawha Valley Mining Institute</t>
  </si>
  <si>
    <t>Metallurgical Coal Producers</t>
  </si>
  <si>
    <t>Other Stats</t>
  </si>
  <si>
    <t>Key Statistics</t>
  </si>
  <si>
    <t>Saleable Production at Curragh</t>
  </si>
  <si>
    <t>Increase in net income after Tax</t>
  </si>
  <si>
    <t>Increase (reduction) in Mining costs per tonne</t>
  </si>
  <si>
    <t>Distributions paid since Oct 2018 listing</t>
  </si>
  <si>
    <t>Steel Starts Here</t>
  </si>
  <si>
    <t>Steel production takes place via two main processes:</t>
  </si>
  <si>
    <t>Blast furnace-basic oxygen furnace (BF-BOF process)</t>
  </si>
  <si>
    <t>Electric arc furnace (EAF)</t>
  </si>
  <si>
    <t>To produce 1,000kg of crude steel using blast furnace or Integrated route process you need around:</t>
  </si>
  <si>
    <t>Iron ore</t>
  </si>
  <si>
    <t>kg</t>
  </si>
  <si>
    <t>Limestone</t>
  </si>
  <si>
    <t>Coal</t>
  </si>
  <si>
    <t>Steel scrap</t>
  </si>
  <si>
    <t>To produce 1.8 billion tonned of crude steel annually, the global steel industry requires:</t>
  </si>
  <si>
    <t>Iron ore (circa)</t>
  </si>
  <si>
    <t>billion tonnes</t>
  </si>
  <si>
    <t>Metallurgical coal (circa)</t>
  </si>
  <si>
    <t>Recycled steel</t>
  </si>
  <si>
    <t>million tonnes</t>
  </si>
  <si>
    <t>Wide use of Steel</t>
  </si>
  <si>
    <t>Buildings (includes hospitals &amp; schools)</t>
  </si>
  <si>
    <t>Automotive</t>
  </si>
  <si>
    <t>Metal Products</t>
  </si>
  <si>
    <t>Mechanical Equipment</t>
  </si>
  <si>
    <t>Other transport</t>
  </si>
  <si>
    <t>Domestic appliances</t>
  </si>
  <si>
    <t>Electrical Equipment</t>
  </si>
  <si>
    <t>Sustainability of Steel</t>
  </si>
  <si>
    <t>Raw materials from the steel industry converted to:</t>
  </si>
  <si>
    <t>Steel products</t>
  </si>
  <si>
    <t>Co-products of steel</t>
  </si>
  <si>
    <t>Waste produced</t>
  </si>
  <si>
    <t xml:space="preserve"> </t>
  </si>
  <si>
    <t>More than - scrap steel are recycled every year</t>
  </si>
  <si>
    <t>Saves approximately - of CO2 that would have been emitted from producing virgin steel</t>
  </si>
  <si>
    <t>Stakeholder engagement</t>
  </si>
  <si>
    <r>
      <t>Stakeholder Group</t>
    </r>
    <r>
      <rPr>
        <b/>
        <sz val="8"/>
        <color rgb="FFFFFFFF"/>
        <rFont val="Arial"/>
        <family val="2"/>
      </rPr>
      <t> </t>
    </r>
  </si>
  <si>
    <r>
      <t>About the Stakeholder</t>
    </r>
    <r>
      <rPr>
        <b/>
        <sz val="8"/>
        <color rgb="FFFFFFFF"/>
        <rFont val="Arial"/>
        <family val="2"/>
      </rPr>
      <t> </t>
    </r>
  </si>
  <si>
    <r>
      <t>How we Engage</t>
    </r>
    <r>
      <rPr>
        <b/>
        <sz val="8"/>
        <color rgb="FFFFFFFF"/>
        <rFont val="Arial"/>
        <family val="2"/>
      </rPr>
      <t> </t>
    </r>
  </si>
  <si>
    <t xml:space="preserve">Investors and financial institutions </t>
  </si>
  <si>
    <t>Institutional and retail investors </t>
  </si>
  <si>
    <t>Large and individual investors, including global managed funds, superannuation funds, investment banks, hedge funds, etc. </t>
  </si>
  <si>
    <t>ASX/SEC reporting, investor presentations, investor roadshows, annual general meetings, sustainability reporting, investor calls and webcasts, industry conferences, emails, phone calls, website, proactive outreach. </t>
  </si>
  <si>
    <t>Sell-side analysts (brokers) </t>
  </si>
  <si>
    <t>Analysts for brokerage firms who evaluate and provide market research and recommendations on the company. </t>
  </si>
  <si>
    <t>Trading desks / salesforces </t>
  </si>
  <si>
    <t>Brokerage firms who trade the company's stock. </t>
  </si>
  <si>
    <t>Bondholders and banks </t>
  </si>
  <si>
    <t>Large institutions who hold CRN bonds. </t>
  </si>
  <si>
    <t>Transactional, bank guarantee and funding partners. </t>
  </si>
  <si>
    <t>Rating agencies </t>
  </si>
  <si>
    <t>Groups who provide company credit ratings and / or services to shareholders. </t>
  </si>
  <si>
    <t>Proxy advisors / benchmarking groups </t>
  </si>
  <si>
    <t>Companies who provide market commentary on Coronado ESG or other matters. </t>
  </si>
  <si>
    <t>First nations and other communities </t>
  </si>
  <si>
    <t>Local community / neighbours </t>
  </si>
  <si>
    <t>Organisations, groups and individuals who live or support the towns and counties in which we operate.  </t>
  </si>
  <si>
    <t>Regular consultations and communication with our local landowners to maintain collaborative relationships  </t>
  </si>
  <si>
    <t>Traditional Owners </t>
  </si>
  <si>
    <t>Quarterly meetings with Traditional Owners (via the Cultural Co-ordinating Committee) to deliver on our Cultural Heritage agreement and to discuss recommendations for the protection and management of cultural heritage. </t>
  </si>
  <si>
    <t>Government and regulators</t>
  </si>
  <si>
    <t>U.S. and Australia </t>
  </si>
  <si>
    <t>Various Government departments.  </t>
  </si>
  <si>
    <t>Regular meetings on topical issues. Business utilises the expertise of expert third party consultants.</t>
  </si>
  <si>
    <t>Local councils </t>
  </si>
  <si>
    <t>Regular liaison with regional councils on topical areas of impact or interest relating to our mining operations to ensure collaborative relationships are maintained. </t>
  </si>
  <si>
    <t xml:space="preserve">Our people -  employees and contractors </t>
  </si>
  <si>
    <t>Employees </t>
  </si>
  <si>
    <t>Most of our U.S. employees live in counties local to their place of work. All employees drive to and from work daily. Our U.S. operations are all non-union. </t>
  </si>
  <si>
    <t>Daily pre-start and weekly team meetings to deliver key company information, safety alerts, health and wellbeing initiatives, community updates, and training and development programs.  </t>
  </si>
  <si>
    <t>Regularly meetings between employees and their direct leaders to facilitate feedback and coaching, performance planning and review, and to discuss personal development opportunities. </t>
  </si>
  <si>
    <t>Over 40% of our employees in Australia live in or around Blackwater. Most others drive in and out from other larger regional centres and stay in company accommodation while on roster. 
Just over 40% our Australian employees are employed under a collective agreement and the remainder have individual contracts of employment. </t>
  </si>
  <si>
    <t>Quarterly townhall meetings delivered by the executive team, where discussion is welcomed and questions encouraged. </t>
  </si>
  <si>
    <t>Other engagement mediums include text message alerts, emails, team channels, social media channels, hard-copy newsletters, and noticeboard items. </t>
  </si>
  <si>
    <t>Contracting partners </t>
  </si>
  <si>
    <t>Providers of major contracting services at our operations (particularly significant at our Curragh mine). </t>
  </si>
  <si>
    <t>Daily, weekly, and monthly meetings with contracting partners, as well as regular performance meetings with our supply team (see below).  </t>
  </si>
  <si>
    <t>Monthly forum with all major contracting partners focussing on safety initiatives to ensure standards and protocols are at a consistently high level. </t>
  </si>
  <si>
    <t>Customer and suppliers</t>
  </si>
  <si>
    <t>Customers  </t>
  </si>
  <si>
    <t>Tata Steel </t>
  </si>
  <si>
    <t>Coronado’s key steel-producing customers. </t>
  </si>
  <si>
    <t>Formal and informal communications via video, phone and written communications. </t>
  </si>
  <si>
    <t>Nippon Steel </t>
  </si>
  <si>
    <t>JFE </t>
  </si>
  <si>
    <t>Arcelor-Mittal </t>
  </si>
  <si>
    <t>POSCO </t>
  </si>
  <si>
    <t>U.S. Steel </t>
  </si>
  <si>
    <t>Stanwell Corporation Limited </t>
  </si>
  <si>
    <t>Queensland Government-owned corporation. </t>
  </si>
  <si>
    <t>Suppliers </t>
  </si>
  <si>
    <t>Major suppliers</t>
  </si>
  <si>
    <r>
      <t> </t>
    </r>
    <r>
      <rPr>
        <sz val="8"/>
        <color rgb="FF000000"/>
        <rFont val="Arial"/>
        <family val="2"/>
      </rPr>
      <t xml:space="preserve">
Our supply chain encompasses a broad range of products and includes contractors, subcontractors, consultants, as well as suppliers of goods and services. </t>
    </r>
  </si>
  <si>
    <t>Regular engagement with suppliers to ensure that a close working relationship exists as well as a shared understanding of our commitment to safety, sustainability and diversity.  </t>
  </si>
  <si>
    <t>Access to a range of tools, information and support for all suppliers, in place to ensure consistently high standards are achieved throughout their engagement. </t>
  </si>
  <si>
    <t>Rail </t>
  </si>
  <si>
    <t>Providers of rail transportation from our facilities to ports / customers. </t>
  </si>
  <si>
    <t>Regular meetings, email and phone correspondence. </t>
  </si>
  <si>
    <t>Industry associations </t>
  </si>
  <si>
    <t>Industry associations - U.S. and Australia</t>
  </si>
  <si>
    <t>Various industry associations</t>
  </si>
  <si>
    <t>Regular attendance at meetings with industry associations and representation on all relevant committees and working groups. </t>
  </si>
  <si>
    <t>Other organisations</t>
  </si>
  <si>
    <t>Media </t>
  </si>
  <si>
    <t>Print, radio and TV media outlets that may produce stories related to CRN for public distribution.  This also includes monitoring of social media including LinkedIn and X etc. </t>
  </si>
  <si>
    <t>Engagement via an external communications firm post consultation and approval from the business.</t>
  </si>
  <si>
    <t>Financial media </t>
  </si>
  <si>
    <t>Print, radio, television media related to Coronado.  </t>
  </si>
  <si>
    <t>Quarterly, half-yearly and yearly proactive outreach for interviews and earnings releases.  Reactive responses via holding statements etc. </t>
  </si>
  <si>
    <t>Trade Union Organisations</t>
  </si>
  <si>
    <t xml:space="preserve">Recognised trade unions who represent employees at our Curragh site, employed under the Enterprise Agreement </t>
  </si>
  <si>
    <t>Regular meetings between union representatives and delegates and site leaders to discuss and resolve issues. </t>
  </si>
  <si>
    <t>(2) U.S. Operations -  applied Greenhouse Gas Reporting Program (codifed at 40 Code of Federal Regulation (GHGRP 40 C.F.R.)  Part 98)  of the United States Environmental Protection Agency for Scope 1 and 2 GHG data.  Scope 1 includes diesel usage and fugitive emissions for all mines except mines not required to report methane by the EPA i.e. three of the Logan underground mines and Greenbrier. The Scope 1 mine emissions reflect the current reporting year data as submitted to the EPA website. GHG emissions for Buchanan Mine do not include gob wells.  Oils and grease and other emissions from industrial processes at all mines are excluded. Coronado used the EPA 2024 GHG Emission Factors Hub last modified January 15, 2025 to calculate emissions (https://www.epa.gov/climateleadership/ghg-emission-factors-hub). Due to submittal timeline, the GHG emissions have not been finalized, submitted and approved by USEPA. Scope 2 emissions, which includes electricity usage purchased off the grid, reflect the applicable EPA conversions for each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</si>
</sst>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3" formatCode="_-* #,##0.00_-;\-* #,##0.00_-;_-* &quot;-&quot;??_-;_-@_-"/>
    <numFmt numFmtId="164" formatCode="_(* #,##0.00_);_(* \(#,##0.00\);_(* &quot;-&quot;??_);_(@_)"/>
    <numFmt numFmtId="165" formatCode="#,##0.0"/>
    <numFmt numFmtId="166" formatCode="0.0"/>
    <numFmt numFmtId="167" formatCode="0.0%"/>
    <numFmt numFmtId="168" formatCode="_(* #,##0.0_);_(* \(#,##0.0\);_(* &quot;-&quot;_);_(@_)"/>
    <numFmt numFmtId="169" formatCode="_(* #,##0_);_(* \(#,##0\);_(* &quot;-&quot;??_);_(@_)"/>
    <numFmt numFmtId="170" formatCode="_-* #,##0.0_-;\-* #,##0.0_-;_-* &quot;-&quot;??_-;_-@_-"/>
    <numFmt numFmtId="171" formatCode="_-* #,##0_-;\-* #,##0_-;_-* &quot;-&quot;??_-;_-@_-"/>
    <numFmt numFmtId="172" formatCode="0.000"/>
    <numFmt numFmtId="173" formatCode="_-* #,##0.000_-;\-* #,##0.000_-;_-* &quot;-&quot;??_-;_-@_-"/>
    <numFmt numFmtId="174" formatCode="0.0000"/>
    <numFmt numFmtId="175" formatCode="_(* #,##0.0_);_(* \(#,##0.0\);_(* &quot;-&quot;?_);_(@_)"/>
  </numFmts>
  <fonts count="90">
    <font>
      <sz val="11"/>
      <color theme="1"/>
      <name val="Calibri"/>
      <family val="2"/>
      <scheme val="minor"/>
    </font>
    <font>
      <b/>
      <sz val="15"/>
      <color theme="3"/>
      <name val="Calibri"/>
      <family val="2"/>
      <scheme val="minor"/>
    </font>
    <font>
      <i/>
      <sz val="11"/>
      <color rgb="FF7F7F7F"/>
      <name val="Calibri"/>
      <family val="2"/>
      <scheme val="minor"/>
    </font>
    <font>
      <sz val="11"/>
      <color theme="0"/>
      <name val="Calibri"/>
      <family val="2"/>
      <scheme val="minor"/>
    </font>
    <font>
      <sz val="10"/>
      <name val="Arial"/>
      <family val="2"/>
    </font>
    <font>
      <sz val="7"/>
      <name val="Arial"/>
      <family val="2"/>
    </font>
    <font>
      <sz val="7"/>
      <color indexed="23"/>
      <name val="Arial"/>
      <family val="2"/>
    </font>
    <font>
      <sz val="7"/>
      <color theme="1"/>
      <name val="Calibri"/>
      <family val="2"/>
      <scheme val="minor"/>
    </font>
    <font>
      <sz val="8"/>
      <name val="Arial"/>
      <family val="2"/>
    </font>
    <font>
      <sz val="7"/>
      <color theme="1"/>
      <name val="Arial"/>
      <family val="2"/>
    </font>
    <font>
      <b/>
      <sz val="18"/>
      <color theme="0"/>
      <name val="Arial"/>
      <family val="2"/>
    </font>
    <font>
      <sz val="11"/>
      <color theme="0"/>
      <name val="Arial"/>
      <family val="2"/>
    </font>
    <font>
      <sz val="6"/>
      <name val="Arial"/>
      <family val="2"/>
    </font>
    <font>
      <sz val="11"/>
      <color theme="1"/>
      <name val="Calibri"/>
      <family val="2"/>
      <scheme val="minor"/>
    </font>
    <font>
      <sz val="11"/>
      <color theme="1"/>
      <name val="Arial"/>
      <family val="2"/>
    </font>
    <font>
      <sz val="10"/>
      <color theme="1"/>
      <name val="Arial"/>
      <family val="2"/>
    </font>
    <font>
      <sz val="7"/>
      <color theme="0"/>
      <name val="Calibri"/>
      <family val="2"/>
      <scheme val="minor"/>
    </font>
    <font>
      <i/>
      <sz val="7"/>
      <name val="Calibri"/>
      <family val="2"/>
      <scheme val="minor"/>
    </font>
    <font>
      <sz val="7"/>
      <color theme="0"/>
      <name val="Calibri Light"/>
      <family val="2"/>
      <scheme val="major"/>
    </font>
    <font>
      <b/>
      <sz val="7"/>
      <color theme="1"/>
      <name val="Calibri"/>
      <family val="2"/>
      <scheme val="minor"/>
    </font>
    <font>
      <sz val="28"/>
      <color theme="9" tint="0.59996337778862885"/>
      <name val="Calibri Light"/>
      <family val="2"/>
      <scheme val="major"/>
    </font>
    <font>
      <b/>
      <sz val="8"/>
      <name val="Calibri"/>
      <family val="2"/>
      <scheme val="minor"/>
    </font>
    <font>
      <b/>
      <sz val="18"/>
      <color theme="9"/>
      <name val="Calibri"/>
      <family val="2"/>
      <scheme val="minor"/>
    </font>
    <font>
      <b/>
      <sz val="18"/>
      <color theme="5"/>
      <name val="Calibri"/>
      <family val="2"/>
      <scheme val="minor"/>
    </font>
    <font>
      <b/>
      <sz val="9"/>
      <color theme="5"/>
      <name val="Calibri"/>
      <family val="2"/>
      <scheme val="minor"/>
    </font>
    <font>
      <sz val="11"/>
      <color rgb="FF9C6500"/>
      <name val="Calibri"/>
      <family val="2"/>
      <scheme val="minor"/>
    </font>
    <font>
      <sz val="9"/>
      <color theme="1"/>
      <name val="Arial"/>
      <family val="2"/>
    </font>
    <font>
      <sz val="8"/>
      <color theme="1"/>
      <name val="Calibri"/>
      <family val="2"/>
      <scheme val="minor"/>
    </font>
    <font>
      <sz val="8"/>
      <color theme="1"/>
      <name val="Arial"/>
      <family val="2"/>
    </font>
    <font>
      <b/>
      <sz val="8"/>
      <color theme="1"/>
      <name val="Arial"/>
      <family val="2"/>
    </font>
    <font>
      <b/>
      <sz val="9"/>
      <color theme="1"/>
      <name val="Arial"/>
      <family val="2"/>
    </font>
    <font>
      <sz val="8"/>
      <color theme="0"/>
      <name val="Arial"/>
      <family val="2"/>
    </font>
    <font>
      <sz val="8"/>
      <color indexed="23"/>
      <name val="Arial"/>
      <family val="2"/>
    </font>
    <font>
      <vertAlign val="superscript"/>
      <sz val="8"/>
      <color theme="1"/>
      <name val="Arial"/>
      <family val="2"/>
    </font>
    <font>
      <sz val="8"/>
      <color rgb="FFFF0000"/>
      <name val="Arial"/>
      <family val="2"/>
    </font>
    <font>
      <sz val="8"/>
      <color rgb="FF000000"/>
      <name val="Arial"/>
      <family val="2"/>
    </font>
    <font>
      <b/>
      <sz val="18"/>
      <color theme="2"/>
      <name val="Arial"/>
      <family val="2"/>
    </font>
    <font>
      <sz val="8"/>
      <color theme="2"/>
      <name val="Arial"/>
      <family val="2"/>
    </font>
    <font>
      <sz val="9"/>
      <color rgb="FF000000"/>
      <name val="Arial"/>
      <family val="2"/>
    </font>
    <font>
      <b/>
      <sz val="9"/>
      <color theme="2"/>
      <name val="Arial"/>
      <family val="2"/>
    </font>
    <font>
      <sz val="9"/>
      <name val="Arial"/>
      <family val="2"/>
    </font>
    <font>
      <u/>
      <sz val="11"/>
      <color theme="10"/>
      <name val="Calibri"/>
      <family val="2"/>
      <scheme val="minor"/>
    </font>
    <font>
      <sz val="7"/>
      <name val="Arial Black"/>
      <family val="2"/>
    </font>
    <font>
      <b/>
      <sz val="9.5"/>
      <color indexed="29"/>
      <name val="Arial"/>
      <family val="2"/>
    </font>
    <font>
      <b/>
      <sz val="7"/>
      <name val="Arial"/>
      <family val="2"/>
    </font>
    <font>
      <b/>
      <sz val="8"/>
      <name val="Arial"/>
      <family val="2"/>
    </font>
    <font>
      <b/>
      <sz val="8"/>
      <color rgb="FF000000"/>
      <name val="Arial"/>
      <family val="2"/>
    </font>
    <font>
      <b/>
      <sz val="18"/>
      <color rgb="FFFFFFFF"/>
      <name val="Arial"/>
      <family val="2"/>
    </font>
    <font>
      <sz val="9"/>
      <color theme="1"/>
      <name val="Calibri"/>
      <family val="2"/>
      <scheme val="minor"/>
    </font>
    <font>
      <vertAlign val="superscript"/>
      <sz val="8"/>
      <color rgb="FF000000"/>
      <name val="Arial"/>
      <family val="2"/>
    </font>
    <font>
      <sz val="6"/>
      <color rgb="FF000000"/>
      <name val="Arial"/>
      <family val="2"/>
    </font>
    <font>
      <sz val="8"/>
      <color rgb="FF000000"/>
      <name val="Calibri"/>
      <family val="2"/>
      <scheme val="minor"/>
    </font>
    <font>
      <sz val="11"/>
      <color theme="1"/>
      <name val="Monsterrat"/>
    </font>
    <font>
      <i/>
      <sz val="9"/>
      <color theme="1"/>
      <name val="Arial"/>
      <family val="2"/>
    </font>
    <font>
      <b/>
      <sz val="8"/>
      <color rgb="FF7030A0"/>
      <name val="Calibri"/>
      <family val="2"/>
      <scheme val="minor"/>
    </font>
    <font>
      <sz val="11"/>
      <color rgb="FF000000"/>
      <name val="Calibri"/>
      <family val="2"/>
      <scheme val="minor"/>
    </font>
    <font>
      <sz val="8"/>
      <color rgb="FFFF0000"/>
      <name val="Calibri"/>
      <family val="2"/>
      <scheme val="minor"/>
    </font>
    <font>
      <sz val="8"/>
      <color rgb="FFFFFFFF"/>
      <name val="Arial"/>
      <family val="2"/>
    </font>
    <font>
      <b/>
      <sz val="8"/>
      <color rgb="FF000000"/>
      <name val="Calibri"/>
      <family val="2"/>
      <scheme val="minor"/>
    </font>
    <font>
      <b/>
      <sz val="7"/>
      <color rgb="FFFFFFFF"/>
      <name val="Arial"/>
      <family val="2"/>
    </font>
    <font>
      <b/>
      <vertAlign val="subscript"/>
      <sz val="8"/>
      <color rgb="FF000000"/>
      <name val="Arial"/>
      <family val="2"/>
    </font>
    <font>
      <vertAlign val="subscript"/>
      <sz val="8"/>
      <color rgb="FF000000"/>
      <name val="Arial"/>
      <family val="2"/>
    </font>
    <font>
      <b/>
      <sz val="8"/>
      <color theme="0"/>
      <name val="Arial"/>
      <family val="2"/>
    </font>
    <font>
      <sz val="8"/>
      <color theme="0"/>
      <name val="Calibri"/>
      <family val="2"/>
      <scheme val="minor"/>
    </font>
    <font>
      <sz val="7"/>
      <color theme="0"/>
      <name val="Arial"/>
      <family val="2"/>
    </font>
    <font>
      <b/>
      <vertAlign val="superscript"/>
      <sz val="8"/>
      <color theme="0"/>
      <name val="Arial"/>
      <family val="2"/>
    </font>
    <font>
      <b/>
      <sz val="11"/>
      <color theme="0"/>
      <name val="Calibri"/>
      <family val="2"/>
      <scheme val="minor"/>
    </font>
    <font>
      <b/>
      <sz val="8"/>
      <color theme="0"/>
      <name val="Calibri"/>
      <family val="2"/>
      <scheme val="minor"/>
    </font>
    <font>
      <sz val="6"/>
      <color theme="1"/>
      <name val="Arial"/>
      <family val="2"/>
    </font>
    <font>
      <sz val="9"/>
      <color rgb="FF444444"/>
      <name val="Arial"/>
      <family val="2"/>
    </font>
    <font>
      <b/>
      <sz val="9"/>
      <color rgb="FF444444"/>
      <name val="Arial"/>
      <family val="2"/>
    </font>
    <font>
      <b/>
      <sz val="8"/>
      <color rgb="FFFFFFFF"/>
      <name val="Arial"/>
      <family val="2"/>
    </font>
    <font>
      <sz val="8"/>
      <color theme="1"/>
      <name val="Arial"/>
      <family val="2"/>
      <charset val="1"/>
    </font>
    <font>
      <b/>
      <u/>
      <sz val="8"/>
      <color rgb="FFFFFFFF"/>
      <name val="Arial"/>
      <family val="2"/>
    </font>
    <font>
      <sz val="8"/>
      <name val="WordVisiCarriageReturn_MSFontSe"/>
      <charset val="1"/>
    </font>
    <font>
      <b/>
      <sz val="11"/>
      <color rgb="FFFFFFFF"/>
      <name val="Calibri"/>
      <family val="2"/>
      <scheme val="minor"/>
    </font>
    <font>
      <sz val="5"/>
      <color theme="1"/>
      <name val="Arial"/>
      <family val="2"/>
    </font>
    <font>
      <b/>
      <sz val="6"/>
      <color theme="1"/>
      <name val="Arial"/>
      <family val="2"/>
    </font>
    <font>
      <b/>
      <sz val="22"/>
      <color theme="0"/>
      <name val="Arial"/>
      <family val="2"/>
    </font>
    <font>
      <u/>
      <sz val="10"/>
      <color theme="0"/>
      <name val="Arial"/>
      <family val="2"/>
    </font>
    <font>
      <b/>
      <sz val="10"/>
      <color theme="0"/>
      <name val="Arial"/>
      <family val="2"/>
    </font>
    <font>
      <sz val="8"/>
      <name val="Calibri"/>
      <family val="2"/>
      <scheme val="minor"/>
    </font>
    <font>
      <b/>
      <vertAlign val="superscript"/>
      <sz val="8"/>
      <color rgb="FFFFFFFF"/>
      <name val="Arial"/>
      <family val="2"/>
    </font>
    <font>
      <sz val="8"/>
      <color rgb="FF242424"/>
      <name val="Arial"/>
      <family val="2"/>
    </font>
    <font>
      <vertAlign val="superscript"/>
      <sz val="7"/>
      <color rgb="FF000000"/>
      <name val="Arial"/>
      <family val="2"/>
    </font>
    <font>
      <vertAlign val="superscript"/>
      <sz val="8"/>
      <color theme="0"/>
      <name val="Arial"/>
      <family val="2"/>
    </font>
    <font>
      <sz val="8"/>
      <color rgb="FF00B050"/>
      <name val="Arial"/>
      <family val="2"/>
    </font>
    <font>
      <b/>
      <sz val="6"/>
      <color rgb="FFFFFFFF"/>
      <name val="Arial"/>
      <family val="2"/>
    </font>
    <font>
      <vertAlign val="superscript"/>
      <sz val="8"/>
      <color rgb="FFFFFFFF"/>
      <name val="Arial"/>
      <family val="2"/>
    </font>
    <font>
      <vertAlign val="superscript"/>
      <sz val="6"/>
      <color rgb="FF000000"/>
      <name val="Arial"/>
      <family val="2"/>
    </font>
  </fonts>
  <fills count="23">
    <fill>
      <patternFill patternType="none"/>
    </fill>
    <fill>
      <patternFill patternType="gray125"/>
    </fill>
    <fill>
      <patternFill patternType="solid">
        <fgColor theme="4"/>
      </patternFill>
    </fill>
    <fill>
      <patternFill patternType="solid">
        <fgColor theme="5"/>
      </patternFill>
    </fill>
    <fill>
      <patternFill patternType="solid">
        <fgColor theme="9"/>
      </patternFill>
    </fill>
    <fill>
      <patternFill patternType="solid">
        <fgColor theme="4"/>
        <bgColor indexed="64"/>
      </patternFill>
    </fill>
    <fill>
      <patternFill patternType="solid">
        <fgColor rgb="FFFFEB9C"/>
      </patternFill>
    </fill>
    <fill>
      <patternFill patternType="solid">
        <fgColor theme="9" tint="0.79998168889431442"/>
        <bgColor indexed="65"/>
      </patternFill>
    </fill>
    <fill>
      <patternFill patternType="solid">
        <fgColor theme="9" tint="0.39997558519241921"/>
        <bgColor indexed="65"/>
      </patternFill>
    </fill>
    <fill>
      <patternFill patternType="solid">
        <fgColor indexed="60"/>
      </patternFill>
    </fill>
    <fill>
      <patternFill patternType="solid">
        <fgColor rgb="FFD8E0E3"/>
        <bgColor indexed="64"/>
      </patternFill>
    </fill>
    <fill>
      <patternFill patternType="solid">
        <fgColor theme="5"/>
        <bgColor indexed="64"/>
      </patternFill>
    </fill>
    <fill>
      <patternFill patternType="solid">
        <fgColor indexed="22"/>
        <bgColor indexed="64"/>
      </patternFill>
    </fill>
    <fill>
      <patternFill patternType="solid">
        <fgColor rgb="FF407EC9"/>
        <bgColor rgb="FF000000"/>
      </patternFill>
    </fill>
    <fill>
      <patternFill patternType="solid">
        <fgColor rgb="FF407EC9"/>
        <bgColor indexed="64"/>
      </patternFill>
    </fill>
    <fill>
      <patternFill patternType="solid">
        <fgColor rgb="FF58595B"/>
        <bgColor rgb="FF000000"/>
      </patternFill>
    </fill>
    <fill>
      <patternFill patternType="solid">
        <fgColor rgb="FF58595B"/>
        <bgColor indexed="64"/>
      </patternFill>
    </fill>
    <fill>
      <patternFill patternType="solid">
        <fgColor rgb="FF4472C4"/>
        <bgColor indexed="64"/>
      </patternFill>
    </fill>
    <fill>
      <patternFill patternType="solid">
        <fgColor rgb="FFFFFF00"/>
        <bgColor indexed="64"/>
      </patternFill>
    </fill>
    <fill>
      <patternFill patternType="solid">
        <fgColor rgb="FFDFF1ED"/>
        <bgColor indexed="64"/>
      </patternFill>
    </fill>
    <fill>
      <patternFill patternType="solid">
        <fgColor rgb="FF9C5ED6"/>
        <bgColor indexed="64"/>
      </patternFill>
    </fill>
    <fill>
      <patternFill patternType="solid">
        <fgColor rgb="FFFFFFFF"/>
        <bgColor indexed="64"/>
      </patternFill>
    </fill>
    <fill>
      <patternFill patternType="solid">
        <fgColor theme="0"/>
        <bgColor indexed="64"/>
      </patternFill>
    </fill>
  </fills>
  <borders count="36">
    <border>
      <left/>
      <right/>
      <top/>
      <bottom/>
      <diagonal/>
    </border>
    <border>
      <left/>
      <right/>
      <top/>
      <bottom style="thick">
        <color theme="4"/>
      </bottom>
      <diagonal/>
    </border>
    <border>
      <left/>
      <right/>
      <top style="thin">
        <color theme="9" tint="0.59996337778862885"/>
      </top>
      <bottom style="thin">
        <color theme="9" tint="0.59996337778862885"/>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bottom style="thin">
        <color theme="4"/>
      </bottom>
      <diagonal/>
    </border>
    <border>
      <left/>
      <right/>
      <top style="thin">
        <color theme="4"/>
      </top>
      <bottom style="medium">
        <color theme="4"/>
      </bottom>
      <diagonal/>
    </border>
    <border>
      <left/>
      <right/>
      <top/>
      <bottom style="hair">
        <color theme="4"/>
      </bottom>
      <diagonal/>
    </border>
    <border>
      <left/>
      <right/>
      <top style="hair">
        <color theme="4"/>
      </top>
      <bottom/>
      <diagonal/>
    </border>
    <border>
      <left/>
      <right/>
      <top style="hair">
        <color theme="4"/>
      </top>
      <bottom style="hair">
        <color theme="4"/>
      </bottom>
      <diagonal/>
    </border>
    <border>
      <left/>
      <right/>
      <top style="hair">
        <color theme="4"/>
      </top>
      <bottom style="thin">
        <color theme="4"/>
      </bottom>
      <diagonal/>
    </border>
    <border>
      <left/>
      <right/>
      <top/>
      <bottom style="medium">
        <color theme="4"/>
      </bottom>
      <diagonal/>
    </border>
    <border>
      <left/>
      <right/>
      <top style="hair">
        <color theme="4"/>
      </top>
      <bottom style="medium">
        <color theme="4"/>
      </bottom>
      <diagonal/>
    </border>
    <border>
      <left/>
      <right/>
      <top/>
      <bottom style="thin">
        <color indexed="64"/>
      </bottom>
      <diagonal/>
    </border>
    <border>
      <left/>
      <right/>
      <top/>
      <bottom style="hair">
        <color rgb="FF407EC9"/>
      </bottom>
      <diagonal/>
    </border>
    <border>
      <left/>
      <right/>
      <top style="hair">
        <color rgb="FF407EC9"/>
      </top>
      <bottom style="hair">
        <color rgb="FF407EC9"/>
      </bottom>
      <diagonal/>
    </border>
    <border>
      <left/>
      <right/>
      <top/>
      <bottom style="thin">
        <color rgb="FF407EC9"/>
      </bottom>
      <diagonal/>
    </border>
    <border>
      <left/>
      <right/>
      <top/>
      <bottom style="medium">
        <color rgb="FF407EC9"/>
      </bottom>
      <diagonal/>
    </border>
    <border>
      <left/>
      <right/>
      <top style="thin">
        <color rgb="FF407EC9"/>
      </top>
      <bottom style="medium">
        <color rgb="FF407EC9"/>
      </bottom>
      <diagonal/>
    </border>
    <border>
      <left/>
      <right/>
      <top style="hair">
        <color rgb="FF407EC9"/>
      </top>
      <bottom/>
      <diagonal/>
    </border>
    <border>
      <left/>
      <right/>
      <top style="hair">
        <color rgb="FF407EC9"/>
      </top>
      <bottom style="thin">
        <color rgb="FF407EC9"/>
      </bottom>
      <diagonal/>
    </border>
    <border>
      <left/>
      <right/>
      <top style="hair">
        <color rgb="FF407EC9"/>
      </top>
      <bottom style="medium">
        <color rgb="FF407EC9"/>
      </bottom>
      <diagonal/>
    </border>
    <border>
      <left/>
      <right/>
      <top style="medium">
        <color rgb="FF407EC9"/>
      </top>
      <bottom/>
      <diagonal/>
    </border>
    <border>
      <left/>
      <right/>
      <top style="thin">
        <color rgb="FF407EC9"/>
      </top>
      <bottom style="thin">
        <color rgb="FF407EC9"/>
      </bottom>
      <diagonal/>
    </border>
    <border>
      <left/>
      <right/>
      <top style="hair">
        <color theme="4"/>
      </top>
      <bottom style="hair">
        <color rgb="FF407EC9"/>
      </bottom>
      <diagonal/>
    </border>
    <border>
      <left/>
      <right/>
      <top style="hair">
        <color rgb="FF407EC9"/>
      </top>
      <bottom style="medium">
        <color theme="4"/>
      </bottom>
      <diagonal/>
    </border>
    <border>
      <left/>
      <right/>
      <top style="hair">
        <color rgb="FF4F81BD"/>
      </top>
      <bottom style="hair">
        <color rgb="FF4F81BD"/>
      </bottom>
      <diagonal/>
    </border>
    <border>
      <left/>
      <right/>
      <top/>
      <bottom style="hair">
        <color rgb="FF4F81BD"/>
      </bottom>
      <diagonal/>
    </border>
    <border>
      <left/>
      <right/>
      <top/>
      <bottom style="medium">
        <color rgb="FF4F81BD"/>
      </bottom>
      <diagonal/>
    </border>
    <border>
      <left/>
      <right/>
      <top style="hair">
        <color rgb="FF4F81BD"/>
      </top>
      <bottom style="medium">
        <color rgb="FF4F81BD"/>
      </bottom>
      <diagonal/>
    </border>
    <border>
      <left style="hair">
        <color rgb="FF407EC9"/>
      </left>
      <right style="hair">
        <color rgb="FF407EC9"/>
      </right>
      <top style="hair">
        <color rgb="FF407EC9"/>
      </top>
      <bottom style="hair">
        <color rgb="FF407EC9"/>
      </bottom>
      <diagonal/>
    </border>
    <border>
      <left style="hair">
        <color rgb="FF407EC9"/>
      </left>
      <right style="hair">
        <color rgb="FF407EC9"/>
      </right>
      <top/>
      <bottom style="hair">
        <color rgb="FF407EC9"/>
      </bottom>
      <diagonal/>
    </border>
    <border>
      <left style="hair">
        <color rgb="FF407EC9"/>
      </left>
      <right style="hair">
        <color rgb="FF407EC9"/>
      </right>
      <top/>
      <bottom/>
      <diagonal/>
    </border>
    <border>
      <left style="hair">
        <color rgb="FF407EC9"/>
      </left>
      <right style="hair">
        <color rgb="FF407EC9"/>
      </right>
      <top style="hair">
        <color rgb="FF407EC9"/>
      </top>
      <bottom/>
      <diagonal/>
    </border>
    <border>
      <left/>
      <right style="hair">
        <color rgb="FF407EC9"/>
      </right>
      <top style="hair">
        <color rgb="FF407EC9"/>
      </top>
      <bottom/>
      <diagonal/>
    </border>
    <border>
      <left style="hair">
        <color rgb="FF407EC9"/>
      </left>
      <right/>
      <top style="hair">
        <color rgb="FF407EC9"/>
      </top>
      <bottom/>
      <diagonal/>
    </border>
    <border>
      <left style="hair">
        <color rgb="FF407EC9"/>
      </left>
      <right style="hair">
        <color rgb="FF407EC9"/>
      </right>
      <top/>
      <bottom style="dotted">
        <color rgb="FF407EC9"/>
      </bottom>
      <diagonal/>
    </border>
  </borders>
  <cellStyleXfs count="65">
    <xf numFmtId="0" fontId="0" fillId="0" borderId="0"/>
    <xf numFmtId="0" fontId="1" fillId="0" borderId="1" applyNumberFormat="0" applyFill="0" applyAlignment="0" applyProtection="0"/>
    <xf numFmtId="0" fontId="2" fillId="0" borderId="0" applyNumberFormat="0" applyFill="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4" fillId="0" borderId="0"/>
    <xf numFmtId="0" fontId="7" fillId="0" borderId="2" applyProtection="0">
      <alignment vertical="center"/>
    </xf>
    <xf numFmtId="9" fontId="8" fillId="0" borderId="0" applyFont="0" applyFill="0" applyBorder="0" applyAlignment="0" applyProtection="0"/>
    <xf numFmtId="9" fontId="13" fillId="0" borderId="0" applyFont="0" applyFill="0" applyBorder="0" applyAlignment="0" applyProtection="0"/>
    <xf numFmtId="0" fontId="9" fillId="0" borderId="0" applyFill="0" applyBorder="0"/>
    <xf numFmtId="0" fontId="13" fillId="0" borderId="0"/>
    <xf numFmtId="164" fontId="14" fillId="0" borderId="0" applyFont="0" applyFill="0" applyBorder="0" applyAlignment="0" applyProtection="0"/>
    <xf numFmtId="9" fontId="14" fillId="0" borderId="0" applyFont="0" applyFill="0" applyBorder="0" applyAlignment="0" applyProtection="0"/>
    <xf numFmtId="0" fontId="14" fillId="0" borderId="0"/>
    <xf numFmtId="9" fontId="13" fillId="0" borderId="0" applyFont="0" applyFill="0" applyBorder="0" applyAlignment="0" applyProtection="0"/>
    <xf numFmtId="164" fontId="14" fillId="0" borderId="0" applyFont="0" applyFill="0" applyBorder="0" applyAlignment="0" applyProtection="0"/>
    <xf numFmtId="0" fontId="14" fillId="0" borderId="0"/>
    <xf numFmtId="0" fontId="8" fillId="9" borderId="0"/>
    <xf numFmtId="9" fontId="14" fillId="0" borderId="0" applyFont="0" applyFill="0" applyBorder="0" applyAlignment="0" applyProtection="0"/>
    <xf numFmtId="164" fontId="13" fillId="0" borderId="0" applyFont="0" applyFill="0" applyBorder="0" applyAlignment="0" applyProtection="0"/>
    <xf numFmtId="0" fontId="16" fillId="4" borderId="0" applyNumberFormat="0" applyAlignment="0" applyProtection="0"/>
    <xf numFmtId="0" fontId="24" fillId="0" borderId="0" applyNumberFormat="0" applyFill="0" applyAlignment="0" applyProtection="0"/>
    <xf numFmtId="0" fontId="21" fillId="0" borderId="0" applyNumberFormat="0" applyFill="0" applyProtection="0">
      <alignment vertical="center"/>
    </xf>
    <xf numFmtId="0" fontId="17" fillId="0" borderId="0" applyNumberFormat="0" applyFill="0" applyBorder="0" applyAlignment="0" applyProtection="0"/>
    <xf numFmtId="0" fontId="7" fillId="7" borderId="0" applyNumberFormat="0" applyBorder="0" applyAlignment="0" applyProtection="0"/>
    <xf numFmtId="0" fontId="23" fillId="0" borderId="0" applyNumberFormat="0" applyFill="0" applyAlignment="0" applyProtection="0"/>
    <xf numFmtId="0" fontId="19" fillId="8" borderId="0" applyNumberFormat="0" applyBorder="0" applyProtection="0">
      <alignment vertical="center"/>
    </xf>
    <xf numFmtId="0" fontId="18" fillId="5" borderId="0" applyNumberFormat="0" applyAlignment="0" applyProtection="0"/>
    <xf numFmtId="0" fontId="20" fillId="0" borderId="0" applyNumberFormat="0" applyFill="0" applyBorder="0" applyAlignment="0" applyProtection="0"/>
    <xf numFmtId="9" fontId="13" fillId="0" borderId="0" applyFont="0" applyFill="0" applyBorder="0" applyAlignment="0" applyProtection="0"/>
    <xf numFmtId="0" fontId="13" fillId="0" borderId="0"/>
    <xf numFmtId="9" fontId="14" fillId="0" borderId="0" applyFont="0" applyFill="0" applyBorder="0" applyAlignment="0" applyProtection="0"/>
    <xf numFmtId="0" fontId="13" fillId="0" borderId="0"/>
    <xf numFmtId="0" fontId="14" fillId="0" borderId="0"/>
    <xf numFmtId="0" fontId="22" fillId="0" borderId="0" applyNumberFormat="0" applyFill="0" applyAlignment="0" applyProtection="0"/>
    <xf numFmtId="0" fontId="17" fillId="0" borderId="0" applyNumberFormat="0" applyFill="0" applyBorder="0" applyAlignment="0" applyProtection="0"/>
    <xf numFmtId="0" fontId="16" fillId="4" borderId="0" applyNumberFormat="0" applyAlignment="0" applyProtection="0"/>
    <xf numFmtId="0" fontId="21" fillId="0" borderId="0" applyNumberFormat="0" applyFill="0" applyProtection="0">
      <alignment vertical="center"/>
    </xf>
    <xf numFmtId="0" fontId="15" fillId="10" borderId="3" applyNumberFormat="0" applyProtection="0">
      <alignment horizontal="left" vertical="top" indent="1"/>
    </xf>
    <xf numFmtId="164" fontId="14" fillId="0" borderId="0" applyFont="0" applyFill="0" applyBorder="0" applyAlignment="0" applyProtection="0"/>
    <xf numFmtId="0" fontId="14" fillId="0" borderId="0"/>
    <xf numFmtId="164" fontId="14" fillId="0" borderId="0" applyFont="0" applyFill="0" applyBorder="0" applyAlignment="0" applyProtection="0"/>
    <xf numFmtId="0" fontId="14" fillId="0" borderId="0"/>
    <xf numFmtId="0" fontId="16" fillId="11" borderId="0" applyNumberFormat="0" applyBorder="0" applyAlignment="0" applyProtection="0"/>
    <xf numFmtId="0" fontId="14" fillId="0" borderId="0"/>
    <xf numFmtId="0" fontId="25" fillId="6" borderId="0" applyNumberFormat="0" applyBorder="0" applyAlignment="0" applyProtection="0"/>
    <xf numFmtId="0" fontId="13" fillId="0" borderId="0"/>
    <xf numFmtId="0" fontId="14" fillId="0" borderId="0"/>
    <xf numFmtId="9"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13" fillId="0" borderId="0"/>
    <xf numFmtId="43" fontId="13" fillId="0" borderId="0" applyFont="0" applyFill="0" applyBorder="0" applyAlignment="0" applyProtection="0"/>
    <xf numFmtId="0" fontId="41" fillId="0" borderId="0" applyNumberFormat="0" applyFill="0" applyBorder="0" applyAlignment="0" applyProtection="0"/>
    <xf numFmtId="0" fontId="4" fillId="0" borderId="0" applyProtection="0"/>
    <xf numFmtId="0" fontId="42" fillId="0" borderId="12"/>
    <xf numFmtId="0" fontId="43" fillId="0" borderId="0"/>
    <xf numFmtId="0" fontId="42" fillId="0" borderId="12">
      <alignment horizontal="right"/>
    </xf>
    <xf numFmtId="0" fontId="5" fillId="0" borderId="0"/>
    <xf numFmtId="168" fontId="44" fillId="12" borderId="0">
      <alignment horizontal="right"/>
    </xf>
    <xf numFmtId="0" fontId="42" fillId="0" borderId="0"/>
    <xf numFmtId="0" fontId="13" fillId="0" borderId="0"/>
    <xf numFmtId="0" fontId="13" fillId="0" borderId="0"/>
    <xf numFmtId="43" fontId="13" fillId="0" borderId="0" applyFont="0" applyFill="0" applyBorder="0" applyAlignment="0" applyProtection="0"/>
  </cellStyleXfs>
  <cellXfs count="656">
    <xf numFmtId="0" fontId="0" fillId="0" borderId="0" xfId="0"/>
    <xf numFmtId="0" fontId="9" fillId="0" borderId="0" xfId="7" quotePrefix="1" applyFont="1" applyBorder="1" applyAlignment="1">
      <alignment horizontal="left" vertical="center" indent="2"/>
    </xf>
    <xf numFmtId="0" fontId="10" fillId="5" borderId="0" xfId="1" applyFont="1" applyFill="1" applyBorder="1" applyAlignment="1">
      <alignment vertical="center"/>
    </xf>
    <xf numFmtId="3" fontId="9" fillId="0" borderId="0" xfId="7" applyNumberFormat="1" applyFont="1" applyBorder="1" applyAlignment="1">
      <alignment horizontal="right" vertical="center"/>
    </xf>
    <xf numFmtId="0" fontId="10" fillId="0" borderId="0" xfId="1" applyFont="1" applyFill="1" applyBorder="1" applyAlignment="1">
      <alignment vertical="center"/>
    </xf>
    <xf numFmtId="3" fontId="28" fillId="0" borderId="0" xfId="7" applyNumberFormat="1" applyFont="1" applyBorder="1" applyAlignment="1">
      <alignment horizontal="right" vertical="center"/>
    </xf>
    <xf numFmtId="0" fontId="28" fillId="0" borderId="0" xfId="7" applyFont="1" applyBorder="1" applyAlignment="1">
      <alignment horizontal="center" vertical="center"/>
    </xf>
    <xf numFmtId="0" fontId="31" fillId="0" borderId="0" xfId="3" applyFont="1" applyFill="1" applyBorder="1" applyAlignment="1">
      <alignment vertical="center" wrapText="1"/>
    </xf>
    <xf numFmtId="0" fontId="11" fillId="0" borderId="0" xfId="3" applyFont="1" applyFill="1" applyBorder="1" applyAlignment="1">
      <alignment vertical="center" wrapText="1"/>
    </xf>
    <xf numFmtId="0" fontId="28" fillId="0" borderId="0" xfId="7" quotePrefix="1" applyFont="1" applyBorder="1" applyAlignment="1">
      <alignment horizontal="left" vertical="center" indent="2"/>
    </xf>
    <xf numFmtId="3" fontId="28" fillId="0" borderId="0" xfId="7" applyNumberFormat="1" applyFont="1" applyBorder="1" applyAlignment="1">
      <alignment horizontal="center" vertical="center"/>
    </xf>
    <xf numFmtId="0" fontId="28" fillId="0" borderId="4" xfId="7" applyFont="1" applyBorder="1" applyAlignment="1">
      <alignment horizontal="center" vertical="center"/>
    </xf>
    <xf numFmtId="0" fontId="29" fillId="0" borderId="5" xfId="7" applyFont="1" applyBorder="1" applyAlignment="1">
      <alignment horizontal="center" vertical="center"/>
    </xf>
    <xf numFmtId="0" fontId="6" fillId="0" borderId="0" xfId="6" applyFont="1" applyAlignment="1">
      <alignment horizontal="center" vertical="center" wrapText="1"/>
    </xf>
    <xf numFmtId="0" fontId="6" fillId="0" borderId="0" xfId="6" applyFont="1" applyAlignment="1">
      <alignment vertical="center" wrapText="1"/>
    </xf>
    <xf numFmtId="0" fontId="32" fillId="0" borderId="0" xfId="6" applyFont="1" applyAlignment="1">
      <alignment horizontal="center" vertical="center" wrapText="1"/>
    </xf>
    <xf numFmtId="0" fontId="32" fillId="0" borderId="0" xfId="6" applyFont="1" applyAlignment="1">
      <alignment vertical="center" wrapText="1"/>
    </xf>
    <xf numFmtId="0" fontId="36" fillId="5" borderId="0" xfId="1" applyFont="1" applyFill="1" applyBorder="1" applyAlignment="1">
      <alignment vertical="center"/>
    </xf>
    <xf numFmtId="4" fontId="28" fillId="0" borderId="0" xfId="7" applyNumberFormat="1" applyFont="1" applyBorder="1" applyAlignment="1">
      <alignment horizontal="right" vertical="center"/>
    </xf>
    <xf numFmtId="3" fontId="28" fillId="0" borderId="7" xfId="7" applyNumberFormat="1" applyFont="1" applyBorder="1" applyAlignment="1">
      <alignment horizontal="right" vertical="center"/>
    </xf>
    <xf numFmtId="3" fontId="28" fillId="0" borderId="8" xfId="7" applyNumberFormat="1" applyFont="1" applyBorder="1" applyAlignment="1">
      <alignment horizontal="right" vertical="center"/>
    </xf>
    <xf numFmtId="0" fontId="28" fillId="0" borderId="6" xfId="7" applyFont="1" applyBorder="1" applyAlignment="1">
      <alignment horizontal="center" vertical="center"/>
    </xf>
    <xf numFmtId="0" fontId="28" fillId="0" borderId="8" xfId="7" applyFont="1" applyBorder="1" applyAlignment="1">
      <alignment horizontal="center" vertical="center"/>
    </xf>
    <xf numFmtId="0" fontId="27" fillId="0" borderId="0" xfId="0" applyFont="1" applyAlignment="1">
      <alignment horizontal="right"/>
    </xf>
    <xf numFmtId="0" fontId="27" fillId="0" borderId="0" xfId="0" applyFont="1" applyAlignment="1">
      <alignment horizontal="center"/>
    </xf>
    <xf numFmtId="0" fontId="28" fillId="0" borderId="11" xfId="7" applyFont="1" applyBorder="1" applyAlignment="1">
      <alignment horizontal="center" vertical="center"/>
    </xf>
    <xf numFmtId="3" fontId="28" fillId="0" borderId="6" xfId="7" applyNumberFormat="1" applyFont="1" applyBorder="1" applyAlignment="1">
      <alignment horizontal="right" vertical="center"/>
    </xf>
    <xf numFmtId="0" fontId="28" fillId="0" borderId="0" xfId="7" quotePrefix="1" applyFont="1" applyBorder="1" applyAlignment="1">
      <alignment horizontal="left" vertical="center" indent="3"/>
    </xf>
    <xf numFmtId="0" fontId="28" fillId="0" borderId="0" xfId="7" applyFont="1" applyBorder="1" applyAlignment="1">
      <alignment horizontal="left" vertical="center" indent="2"/>
    </xf>
    <xf numFmtId="0" fontId="28" fillId="0" borderId="8" xfId="7" applyFont="1" applyBorder="1" applyAlignment="1">
      <alignment horizontal="left" vertical="center" indent="2"/>
    </xf>
    <xf numFmtId="0" fontId="27" fillId="0" borderId="0" xfId="0" applyFont="1" applyAlignment="1">
      <alignment horizontal="left" indent="1"/>
    </xf>
    <xf numFmtId="0" fontId="34" fillId="0" borderId="0" xfId="7" quotePrefix="1" applyFont="1" applyBorder="1" applyAlignment="1">
      <alignment horizontal="left" vertical="center" indent="3"/>
    </xf>
    <xf numFmtId="0" fontId="10" fillId="0" borderId="0" xfId="0" applyFont="1" applyAlignment="1">
      <alignment vertical="center"/>
    </xf>
    <xf numFmtId="0" fontId="10" fillId="0" borderId="0" xfId="0" applyFont="1" applyAlignment="1">
      <alignment horizontal="center" vertical="center"/>
    </xf>
    <xf numFmtId="166" fontId="10" fillId="0" borderId="0" xfId="0" applyNumberFormat="1" applyFont="1" applyAlignment="1">
      <alignment vertical="center"/>
    </xf>
    <xf numFmtId="0" fontId="26" fillId="0" borderId="0" xfId="0" applyFont="1" applyAlignment="1">
      <alignment vertical="center"/>
    </xf>
    <xf numFmtId="0" fontId="26" fillId="0" borderId="0" xfId="0" applyFont="1" applyAlignment="1">
      <alignment horizontal="center" vertical="center"/>
    </xf>
    <xf numFmtId="0" fontId="39" fillId="5" borderId="0" xfId="4" applyFont="1" applyFill="1" applyBorder="1" applyAlignment="1">
      <alignment vertical="center"/>
    </xf>
    <xf numFmtId="0" fontId="39" fillId="5" borderId="0" xfId="5" applyFont="1" applyFill="1" applyBorder="1" applyAlignment="1">
      <alignment horizontal="center" vertical="center" wrapText="1"/>
    </xf>
    <xf numFmtId="0" fontId="39" fillId="5" borderId="0" xfId="5" applyFont="1" applyFill="1" applyBorder="1" applyAlignment="1">
      <alignment vertical="center" wrapText="1"/>
    </xf>
    <xf numFmtId="0" fontId="39" fillId="5" borderId="0" xfId="5" applyFont="1" applyFill="1" applyBorder="1" applyAlignment="1">
      <alignment horizontal="right" vertical="center" wrapText="1"/>
    </xf>
    <xf numFmtId="0" fontId="39" fillId="5" borderId="0" xfId="0" applyFont="1" applyFill="1" applyAlignment="1">
      <alignment vertical="center"/>
    </xf>
    <xf numFmtId="166" fontId="26" fillId="0" borderId="0" xfId="0" applyNumberFormat="1" applyFont="1" applyAlignment="1">
      <alignment vertical="center"/>
    </xf>
    <xf numFmtId="0" fontId="30" fillId="0" borderId="0" xfId="0" applyFont="1" applyAlignment="1">
      <alignment horizontal="center" vertical="center"/>
    </xf>
    <xf numFmtId="0" fontId="26" fillId="0" borderId="8" xfId="0" applyFont="1" applyBorder="1" applyAlignment="1">
      <alignment vertical="center"/>
    </xf>
    <xf numFmtId="0" fontId="26" fillId="0" borderId="8" xfId="0" applyFont="1" applyBorder="1" applyAlignment="1">
      <alignment horizontal="center" vertical="center"/>
    </xf>
    <xf numFmtId="0" fontId="26" fillId="0" borderId="6" xfId="0" applyFont="1" applyBorder="1" applyAlignment="1">
      <alignment vertical="center"/>
    </xf>
    <xf numFmtId="0" fontId="26" fillId="0" borderId="6" xfId="0" applyFont="1" applyBorder="1" applyAlignment="1">
      <alignment horizontal="center" vertical="center"/>
    </xf>
    <xf numFmtId="0" fontId="26" fillId="0" borderId="11" xfId="0" applyFont="1" applyBorder="1" applyAlignment="1">
      <alignment vertical="center"/>
    </xf>
    <xf numFmtId="0" fontId="26" fillId="0" borderId="11" xfId="0" applyFont="1" applyBorder="1" applyAlignment="1">
      <alignment horizontal="center" vertical="center"/>
    </xf>
    <xf numFmtId="166" fontId="26" fillId="0" borderId="11" xfId="0" applyNumberFormat="1" applyFont="1" applyBorder="1" applyAlignment="1">
      <alignment vertical="center"/>
    </xf>
    <xf numFmtId="166" fontId="26" fillId="0" borderId="8" xfId="0" applyNumberFormat="1" applyFont="1" applyBorder="1" applyAlignment="1">
      <alignment vertical="center"/>
    </xf>
    <xf numFmtId="0" fontId="28" fillId="0" borderId="0" xfId="0" applyFont="1" applyAlignment="1">
      <alignment vertical="center"/>
    </xf>
    <xf numFmtId="0" fontId="28" fillId="0" borderId="0" xfId="0" applyFont="1" applyAlignment="1">
      <alignment horizontal="center" vertical="center"/>
    </xf>
    <xf numFmtId="0" fontId="35" fillId="0" borderId="0" xfId="0" applyFont="1" applyAlignment="1">
      <alignment horizontal="center" wrapText="1"/>
    </xf>
    <xf numFmtId="0" fontId="35" fillId="0" borderId="18" xfId="0" applyFont="1" applyBorder="1" applyAlignment="1">
      <alignment horizontal="center" wrapText="1"/>
    </xf>
    <xf numFmtId="0" fontId="26" fillId="0" borderId="7" xfId="0" applyFont="1" applyBorder="1" applyAlignment="1">
      <alignment vertical="center"/>
    </xf>
    <xf numFmtId="0" fontId="26" fillId="0" borderId="7" xfId="0" applyFont="1" applyBorder="1" applyAlignment="1">
      <alignment horizontal="center" vertical="center"/>
    </xf>
    <xf numFmtId="0" fontId="35" fillId="0" borderId="0" xfId="0" applyFont="1" applyAlignment="1">
      <alignment vertical="center" wrapText="1"/>
    </xf>
    <xf numFmtId="0" fontId="48" fillId="0" borderId="0" xfId="0" applyFont="1" applyAlignment="1">
      <alignment vertical="center"/>
    </xf>
    <xf numFmtId="1" fontId="26" fillId="0" borderId="6" xfId="0" applyNumberFormat="1" applyFont="1" applyBorder="1" applyAlignment="1">
      <alignment vertical="center"/>
    </xf>
    <xf numFmtId="1" fontId="26" fillId="0" borderId="0" xfId="0" applyNumberFormat="1" applyFont="1" applyAlignment="1">
      <alignment vertical="center"/>
    </xf>
    <xf numFmtId="1" fontId="26" fillId="0" borderId="8" xfId="0" applyNumberFormat="1" applyFont="1" applyBorder="1" applyAlignment="1">
      <alignment vertical="center"/>
    </xf>
    <xf numFmtId="164" fontId="26" fillId="0" borderId="0" xfId="53" applyNumberFormat="1" applyFont="1" applyBorder="1" applyAlignment="1">
      <alignment vertical="center"/>
    </xf>
    <xf numFmtId="164" fontId="48" fillId="0" borderId="0" xfId="0" applyNumberFormat="1" applyFont="1" applyAlignment="1">
      <alignment vertical="center"/>
    </xf>
    <xf numFmtId="1" fontId="26" fillId="0" borderId="7" xfId="0" applyNumberFormat="1" applyFont="1" applyBorder="1" applyAlignment="1">
      <alignment vertical="center"/>
    </xf>
    <xf numFmtId="1" fontId="26" fillId="0" borderId="11" xfId="0" applyNumberFormat="1" applyFont="1" applyBorder="1" applyAlignment="1">
      <alignment vertical="center"/>
    </xf>
    <xf numFmtId="3" fontId="35" fillId="0" borderId="0" xfId="7" applyNumberFormat="1" applyFont="1" applyBorder="1" applyAlignment="1">
      <alignment horizontal="right" vertical="center"/>
    </xf>
    <xf numFmtId="0" fontId="51" fillId="0" borderId="0" xfId="0" applyFont="1" applyAlignment="1">
      <alignment horizontal="right"/>
    </xf>
    <xf numFmtId="0" fontId="28" fillId="0" borderId="11" xfId="7" quotePrefix="1" applyFont="1" applyBorder="1" applyAlignment="1">
      <alignment horizontal="left" vertical="center" indent="2"/>
    </xf>
    <xf numFmtId="3" fontId="28" fillId="0" borderId="11" xfId="7" applyNumberFormat="1" applyFont="1" applyBorder="1" applyAlignment="1">
      <alignment horizontal="right" vertical="center"/>
    </xf>
    <xf numFmtId="4" fontId="28" fillId="0" borderId="11" xfId="7" applyNumberFormat="1" applyFont="1" applyBorder="1" applyAlignment="1">
      <alignment horizontal="right" vertical="center"/>
    </xf>
    <xf numFmtId="3" fontId="8" fillId="0" borderId="11" xfId="7" applyNumberFormat="1" applyFont="1" applyBorder="1" applyAlignment="1">
      <alignment horizontal="right" vertical="center"/>
    </xf>
    <xf numFmtId="0" fontId="35" fillId="0" borderId="0" xfId="0" applyFont="1" applyAlignment="1">
      <alignment horizontal="left"/>
    </xf>
    <xf numFmtId="3" fontId="35" fillId="0" borderId="11" xfId="7" applyNumberFormat="1" applyFont="1" applyBorder="1" applyAlignment="1">
      <alignment horizontal="right" vertical="center"/>
    </xf>
    <xf numFmtId="0" fontId="28" fillId="0" borderId="11" xfId="7" applyFont="1" applyBorder="1" applyAlignment="1">
      <alignment horizontal="left" vertical="center" indent="2"/>
    </xf>
    <xf numFmtId="3" fontId="28" fillId="0" borderId="10" xfId="7" applyNumberFormat="1" applyFont="1" applyBorder="1" applyAlignment="1">
      <alignment horizontal="right" vertical="center"/>
    </xf>
    <xf numFmtId="3" fontId="35" fillId="0" borderId="14" xfId="0" applyNumberFormat="1" applyFont="1" applyBorder="1" applyAlignment="1">
      <alignment wrapText="1"/>
    </xf>
    <xf numFmtId="0" fontId="28" fillId="0" borderId="0" xfId="7" applyFont="1" applyBorder="1" applyAlignment="1">
      <alignment horizontal="right" vertical="center"/>
    </xf>
    <xf numFmtId="0" fontId="35" fillId="0" borderId="8" xfId="0" applyFont="1" applyBorder="1" applyAlignment="1">
      <alignment vertical="center" wrapText="1"/>
    </xf>
    <xf numFmtId="0" fontId="29" fillId="0" borderId="5" xfId="7" applyFont="1" applyBorder="1" applyAlignment="1">
      <alignment horizontal="right" vertical="center"/>
    </xf>
    <xf numFmtId="0" fontId="28" fillId="0" borderId="8" xfId="7" applyFont="1" applyBorder="1" applyAlignment="1">
      <alignment horizontal="right" vertical="center"/>
    </xf>
    <xf numFmtId="169" fontId="28" fillId="0" borderId="0" xfId="7" quotePrefix="1" applyNumberFormat="1" applyFont="1" applyBorder="1" applyAlignment="1">
      <alignment horizontal="left" vertical="center" indent="2"/>
    </xf>
    <xf numFmtId="169" fontId="28" fillId="0" borderId="11" xfId="7" quotePrefix="1" applyNumberFormat="1" applyFont="1" applyBorder="1" applyAlignment="1">
      <alignment horizontal="left" vertical="center" indent="2"/>
    </xf>
    <xf numFmtId="0" fontId="28" fillId="0" borderId="6" xfId="7" applyFont="1" applyBorder="1" applyAlignment="1">
      <alignment horizontal="right" vertical="center"/>
    </xf>
    <xf numFmtId="0" fontId="54" fillId="0" borderId="0" xfId="0" applyFont="1"/>
    <xf numFmtId="0" fontId="28" fillId="0" borderId="0" xfId="7" quotePrefix="1" applyFont="1" applyBorder="1">
      <alignment vertical="center"/>
    </xf>
    <xf numFmtId="0" fontId="28" fillId="0" borderId="11" xfId="7" quotePrefix="1" applyFont="1" applyBorder="1">
      <alignment vertical="center"/>
    </xf>
    <xf numFmtId="0" fontId="55" fillId="0" borderId="0" xfId="0" applyFont="1"/>
    <xf numFmtId="0" fontId="55" fillId="0" borderId="0" xfId="0" applyFont="1" applyAlignment="1">
      <alignment horizontal="right"/>
    </xf>
    <xf numFmtId="0" fontId="47" fillId="13" borderId="0" xfId="0" applyFont="1" applyFill="1" applyAlignment="1">
      <alignment vertical="center"/>
    </xf>
    <xf numFmtId="0" fontId="55" fillId="13" borderId="0" xfId="0" applyFont="1" applyFill="1" applyAlignment="1">
      <alignment horizontal="right"/>
    </xf>
    <xf numFmtId="0" fontId="51" fillId="0" borderId="0" xfId="0" applyFont="1"/>
    <xf numFmtId="0" fontId="35" fillId="0" borderId="0" xfId="0" applyFont="1" applyAlignment="1">
      <alignment horizontal="left" vertical="center" indent="2"/>
    </xf>
    <xf numFmtId="0" fontId="35" fillId="0" borderId="0" xfId="0" applyFont="1" applyAlignment="1">
      <alignment horizontal="right" vertical="center"/>
    </xf>
    <xf numFmtId="3" fontId="35" fillId="0" borderId="0" xfId="0" applyNumberFormat="1" applyFont="1" applyAlignment="1">
      <alignment horizontal="right" vertical="center"/>
    </xf>
    <xf numFmtId="0" fontId="35" fillId="0" borderId="14" xfId="0" applyFont="1" applyBorder="1" applyAlignment="1">
      <alignment horizontal="left" vertical="center" indent="2"/>
    </xf>
    <xf numFmtId="0" fontId="35" fillId="0" borderId="14" xfId="0" applyFont="1" applyBorder="1" applyAlignment="1">
      <alignment horizontal="right" vertical="center"/>
    </xf>
    <xf numFmtId="0" fontId="46" fillId="0" borderId="17" xfId="0" applyFont="1" applyBorder="1" applyAlignment="1">
      <alignment horizontal="left" vertical="center" indent="1"/>
    </xf>
    <xf numFmtId="3" fontId="46" fillId="0" borderId="17" xfId="0" applyNumberFormat="1" applyFont="1" applyBorder="1" applyAlignment="1">
      <alignment horizontal="right" vertical="center"/>
    </xf>
    <xf numFmtId="0" fontId="46" fillId="0" borderId="0" xfId="0" applyFont="1" applyAlignment="1">
      <alignment horizontal="right" vertical="center"/>
    </xf>
    <xf numFmtId="0" fontId="46" fillId="0" borderId="17" xfId="0" applyFont="1" applyBorder="1" applyAlignment="1">
      <alignment horizontal="right" vertical="center"/>
    </xf>
    <xf numFmtId="0" fontId="35" fillId="0" borderId="13" xfId="0" applyFont="1" applyBorder="1" applyAlignment="1">
      <alignment horizontal="left" vertical="center" indent="2"/>
    </xf>
    <xf numFmtId="0" fontId="35" fillId="0" borderId="13" xfId="0" applyFont="1" applyBorder="1" applyAlignment="1">
      <alignment horizontal="right" vertical="center"/>
    </xf>
    <xf numFmtId="0" fontId="35" fillId="0" borderId="20" xfId="0" applyFont="1" applyBorder="1" applyAlignment="1">
      <alignment horizontal="left" vertical="center" indent="2"/>
    </xf>
    <xf numFmtId="0" fontId="51" fillId="0" borderId="0" xfId="0" applyFont="1" applyAlignment="1">
      <alignment horizontal="left" indent="1"/>
    </xf>
    <xf numFmtId="0" fontId="35" fillId="0" borderId="16" xfId="0" applyFont="1" applyBorder="1" applyAlignment="1">
      <alignment horizontal="right" vertical="center"/>
    </xf>
    <xf numFmtId="0" fontId="46" fillId="0" borderId="0" xfId="0" applyFont="1" applyAlignment="1">
      <alignment horizontal="left" vertical="center" indent="1"/>
    </xf>
    <xf numFmtId="0" fontId="35" fillId="0" borderId="0" xfId="0" applyFont="1" applyAlignment="1">
      <alignment vertical="center"/>
    </xf>
    <xf numFmtId="0" fontId="46" fillId="0" borderId="14" xfId="0" applyFont="1" applyBorder="1" applyAlignment="1">
      <alignment horizontal="left" vertical="center" indent="1"/>
    </xf>
    <xf numFmtId="0" fontId="35" fillId="0" borderId="14" xfId="0" applyFont="1" applyBorder="1" applyAlignment="1">
      <alignment vertical="center"/>
    </xf>
    <xf numFmtId="3" fontId="35" fillId="0" borderId="14" xfId="0" applyNumberFormat="1" applyFont="1" applyBorder="1" applyAlignment="1">
      <alignment horizontal="right" vertical="center"/>
    </xf>
    <xf numFmtId="0" fontId="35" fillId="0" borderId="20" xfId="0" applyFont="1" applyBorder="1" applyAlignment="1">
      <alignment horizontal="right" vertical="center"/>
    </xf>
    <xf numFmtId="3" fontId="35" fillId="0" borderId="20" xfId="0" applyNumberFormat="1" applyFont="1" applyBorder="1" applyAlignment="1">
      <alignment horizontal="right" vertical="center"/>
    </xf>
    <xf numFmtId="0" fontId="35" fillId="0" borderId="20" xfId="0" applyFont="1" applyBorder="1" applyAlignment="1">
      <alignment vertical="center"/>
    </xf>
    <xf numFmtId="0" fontId="34" fillId="0" borderId="0" xfId="0" applyFont="1" applyAlignment="1">
      <alignment horizontal="left" vertical="center" indent="3"/>
    </xf>
    <xf numFmtId="0" fontId="57" fillId="15" borderId="0" xfId="0" applyFont="1" applyFill="1" applyAlignment="1">
      <alignment vertical="center"/>
    </xf>
    <xf numFmtId="0" fontId="8" fillId="15" borderId="0" xfId="0" applyFont="1" applyFill="1" applyAlignment="1">
      <alignment horizontal="right"/>
    </xf>
    <xf numFmtId="0" fontId="35" fillId="0" borderId="21" xfId="0" applyFont="1" applyBorder="1" applyAlignment="1">
      <alignment horizontal="left" vertical="center" indent="1"/>
    </xf>
    <xf numFmtId="0" fontId="46" fillId="0" borderId="21" xfId="0" applyFont="1" applyBorder="1" applyAlignment="1">
      <alignment horizontal="right" vertical="center"/>
    </xf>
    <xf numFmtId="3" fontId="46" fillId="0" borderId="17" xfId="0" applyNumberFormat="1" applyFont="1" applyBorder="1" applyAlignment="1">
      <alignment horizontal="right"/>
    </xf>
    <xf numFmtId="0" fontId="0" fillId="0" borderId="0" xfId="0" applyAlignment="1">
      <alignment horizontal="center"/>
    </xf>
    <xf numFmtId="0" fontId="12" fillId="0" borderId="0" xfId="0" applyFont="1" applyAlignment="1">
      <alignment horizontal="left" vertical="top" wrapText="1"/>
    </xf>
    <xf numFmtId="0" fontId="50" fillId="0" borderId="0" xfId="0" applyFont="1" applyAlignment="1">
      <alignment horizontal="left" vertical="top" wrapText="1"/>
    </xf>
    <xf numFmtId="0" fontId="55" fillId="0" borderId="0" xfId="0" applyFont="1" applyAlignment="1">
      <alignment horizontal="center"/>
    </xf>
    <xf numFmtId="0" fontId="39" fillId="5" borderId="0" xfId="4" applyFont="1" applyFill="1" applyBorder="1" applyAlignment="1">
      <alignment horizontal="left" vertical="center"/>
    </xf>
    <xf numFmtId="0" fontId="35" fillId="0" borderId="0" xfId="0" applyFont="1" applyAlignment="1">
      <alignment horizontal="center" vertical="center"/>
    </xf>
    <xf numFmtId="3" fontId="35" fillId="0" borderId="13" xfId="0" applyNumberFormat="1" applyFont="1" applyBorder="1" applyAlignment="1">
      <alignment horizontal="right" vertical="center"/>
    </xf>
    <xf numFmtId="3" fontId="35" fillId="0" borderId="0" xfId="0" applyNumberFormat="1" applyFont="1" applyAlignment="1">
      <alignment vertical="center"/>
    </xf>
    <xf numFmtId="0" fontId="35" fillId="0" borderId="14" xfId="0" applyFont="1" applyBorder="1" applyAlignment="1">
      <alignment horizontal="center" vertical="center"/>
    </xf>
    <xf numFmtId="0" fontId="46" fillId="0" borderId="17" xfId="0" applyFont="1" applyBorder="1" applyAlignment="1">
      <alignment horizontal="center" vertical="center"/>
    </xf>
    <xf numFmtId="3" fontId="46" fillId="0" borderId="17" xfId="0" applyNumberFormat="1" applyFont="1" applyBorder="1" applyAlignment="1">
      <alignment vertical="center"/>
    </xf>
    <xf numFmtId="0" fontId="35" fillId="0" borderId="14" xfId="0" applyFont="1" applyBorder="1" applyAlignment="1">
      <alignment wrapText="1"/>
    </xf>
    <xf numFmtId="0" fontId="46" fillId="0" borderId="18" xfId="0" applyFont="1" applyBorder="1" applyAlignment="1">
      <alignment horizontal="left" vertical="center" indent="1"/>
    </xf>
    <xf numFmtId="0" fontId="46" fillId="0" borderId="18" xfId="0" applyFont="1" applyBorder="1" applyAlignment="1">
      <alignment horizontal="center" vertical="center"/>
    </xf>
    <xf numFmtId="0" fontId="46" fillId="0" borderId="18" xfId="0" applyFont="1" applyBorder="1" applyAlignment="1">
      <alignment vertical="center"/>
    </xf>
    <xf numFmtId="0" fontId="46" fillId="0" borderId="14" xfId="0" applyFont="1" applyBorder="1" applyAlignment="1">
      <alignment horizontal="center" vertical="center"/>
    </xf>
    <xf numFmtId="0" fontId="46" fillId="0" borderId="14" xfId="0" applyFont="1" applyBorder="1" applyAlignment="1">
      <alignment vertical="center"/>
    </xf>
    <xf numFmtId="0" fontId="35" fillId="0" borderId="0" xfId="0" applyFont="1" applyAlignment="1">
      <alignment horizontal="left" vertical="center" indent="1"/>
    </xf>
    <xf numFmtId="0" fontId="46" fillId="0" borderId="17" xfId="0" applyFont="1" applyBorder="1" applyAlignment="1">
      <alignment vertical="center"/>
    </xf>
    <xf numFmtId="0" fontId="35" fillId="0" borderId="20" xfId="0" applyFont="1" applyBorder="1" applyAlignment="1">
      <alignment horizontal="center" vertical="center"/>
    </xf>
    <xf numFmtId="0" fontId="35" fillId="0" borderId="18" xfId="0" applyFont="1" applyBorder="1" applyAlignment="1">
      <alignment horizontal="center" vertical="center"/>
    </xf>
    <xf numFmtId="3" fontId="35" fillId="0" borderId="14" xfId="0" applyNumberFormat="1" applyFont="1" applyBorder="1" applyAlignment="1">
      <alignment vertical="center"/>
    </xf>
    <xf numFmtId="3" fontId="35" fillId="0" borderId="18" xfId="0" applyNumberFormat="1" applyFont="1" applyBorder="1" applyAlignment="1">
      <alignment horizontal="right" vertical="center"/>
    </xf>
    <xf numFmtId="0" fontId="58" fillId="0" borderId="0" xfId="0" applyFont="1"/>
    <xf numFmtId="0" fontId="46" fillId="0" borderId="0" xfId="0" applyFont="1" applyAlignment="1">
      <alignment horizontal="center" vertical="center"/>
    </xf>
    <xf numFmtId="0" fontId="46" fillId="0" borderId="0" xfId="0" applyFont="1" applyAlignment="1">
      <alignment vertical="center"/>
    </xf>
    <xf numFmtId="0" fontId="35" fillId="0" borderId="18" xfId="0" applyFont="1" applyBorder="1" applyAlignment="1">
      <alignment horizontal="right" vertical="center"/>
    </xf>
    <xf numFmtId="0" fontId="35" fillId="0" borderId="19" xfId="0" applyFont="1" applyBorder="1" applyAlignment="1">
      <alignment horizontal="left" vertical="center" indent="2"/>
    </xf>
    <xf numFmtId="0" fontId="35" fillId="0" borderId="19" xfId="0" applyFont="1" applyBorder="1" applyAlignment="1">
      <alignment horizontal="center" vertical="center"/>
    </xf>
    <xf numFmtId="0" fontId="35" fillId="0" borderId="18" xfId="0" applyFont="1" applyBorder="1" applyAlignment="1">
      <alignment vertical="center"/>
    </xf>
    <xf numFmtId="0" fontId="46" fillId="0" borderId="16" xfId="0" applyFont="1" applyBorder="1" applyAlignment="1">
      <alignment horizontal="left" vertical="center" indent="1"/>
    </xf>
    <xf numFmtId="0" fontId="46" fillId="0" borderId="16" xfId="0" applyFont="1" applyBorder="1" applyAlignment="1">
      <alignment horizontal="center" vertical="center"/>
    </xf>
    <xf numFmtId="0" fontId="35" fillId="0" borderId="0" xfId="0" applyFont="1" applyAlignment="1">
      <alignment horizontal="left" vertical="center" indent="3"/>
    </xf>
    <xf numFmtId="0" fontId="46" fillId="0" borderId="13" xfId="0" applyFont="1" applyBorder="1" applyAlignment="1">
      <alignment horizontal="left" vertical="center" indent="1"/>
    </xf>
    <xf numFmtId="0" fontId="46" fillId="0" borderId="13" xfId="0" applyFont="1" applyBorder="1" applyAlignment="1">
      <alignment horizontal="center" vertical="center"/>
    </xf>
    <xf numFmtId="0" fontId="59" fillId="15" borderId="0" xfId="0" applyFont="1" applyFill="1" applyAlignment="1">
      <alignment vertical="center"/>
    </xf>
    <xf numFmtId="0" fontId="5" fillId="15" borderId="0" xfId="0" applyFont="1" applyFill="1" applyAlignment="1">
      <alignment horizontal="center"/>
    </xf>
    <xf numFmtId="0" fontId="5" fillId="15" borderId="0" xfId="0" applyFont="1" applyFill="1" applyAlignment="1">
      <alignment horizontal="right"/>
    </xf>
    <xf numFmtId="0" fontId="5" fillId="15" borderId="0" xfId="0" applyFont="1" applyFill="1"/>
    <xf numFmtId="0" fontId="46" fillId="0" borderId="0" xfId="0" applyFont="1" applyAlignment="1">
      <alignment horizontal="left" vertical="center" indent="2"/>
    </xf>
    <xf numFmtId="0" fontId="46" fillId="0" borderId="0" xfId="0" applyFont="1" applyAlignment="1">
      <alignment horizontal="center"/>
    </xf>
    <xf numFmtId="0" fontId="46" fillId="0" borderId="0" xfId="0" applyFont="1" applyAlignment="1">
      <alignment horizontal="right"/>
    </xf>
    <xf numFmtId="0" fontId="46" fillId="0" borderId="14" xfId="0" applyFont="1" applyBorder="1" applyAlignment="1">
      <alignment horizontal="right" vertical="center"/>
    </xf>
    <xf numFmtId="0" fontId="46" fillId="0" borderId="13" xfId="0" applyFont="1" applyBorder="1" applyAlignment="1">
      <alignment horizontal="right" vertical="center"/>
    </xf>
    <xf numFmtId="0" fontId="35" fillId="0" borderId="13" xfId="0" applyFont="1" applyBorder="1" applyAlignment="1">
      <alignment horizontal="center" vertical="center"/>
    </xf>
    <xf numFmtId="0" fontId="0" fillId="0" borderId="0" xfId="0" applyAlignment="1">
      <alignment vertical="center"/>
    </xf>
    <xf numFmtId="0" fontId="10" fillId="14" borderId="0" xfId="1" applyFont="1" applyFill="1" applyBorder="1" applyAlignment="1">
      <alignment vertical="center"/>
    </xf>
    <xf numFmtId="0" fontId="10" fillId="14" borderId="0" xfId="1" applyFont="1" applyFill="1" applyBorder="1" applyAlignment="1">
      <alignment horizontal="right" vertical="center"/>
    </xf>
    <xf numFmtId="0" fontId="62" fillId="14" borderId="0" xfId="5" applyFont="1" applyFill="1" applyBorder="1" applyAlignment="1">
      <alignment vertical="center" wrapText="1"/>
    </xf>
    <xf numFmtId="0" fontId="62" fillId="14" borderId="0" xfId="5" applyFont="1" applyFill="1" applyBorder="1" applyAlignment="1">
      <alignment horizontal="right" vertical="center" wrapText="1"/>
    </xf>
    <xf numFmtId="0" fontId="62" fillId="14" borderId="0" xfId="4" applyFont="1" applyFill="1" applyBorder="1" applyAlignment="1">
      <alignment horizontal="left" vertical="center" indent="1"/>
    </xf>
    <xf numFmtId="0" fontId="62" fillId="14" borderId="0" xfId="4" applyFont="1" applyFill="1" applyBorder="1" applyAlignment="1">
      <alignment vertical="center"/>
    </xf>
    <xf numFmtId="0" fontId="62" fillId="14" borderId="0" xfId="5" applyFont="1" applyFill="1" applyBorder="1" applyAlignment="1">
      <alignment horizontal="left" vertical="center" wrapText="1" indent="1"/>
    </xf>
    <xf numFmtId="0" fontId="62" fillId="14" borderId="0" xfId="5" applyFont="1" applyFill="1" applyBorder="1" applyAlignment="1">
      <alignment horizontal="center" vertical="center" wrapText="1"/>
    </xf>
    <xf numFmtId="0" fontId="62" fillId="14" borderId="0" xfId="3" applyFont="1" applyFill="1" applyBorder="1" applyAlignment="1">
      <alignment vertical="center" wrapText="1"/>
    </xf>
    <xf numFmtId="0" fontId="63" fillId="14" borderId="0" xfId="0" applyFont="1" applyFill="1" applyAlignment="1">
      <alignment vertical="center"/>
    </xf>
    <xf numFmtId="0" fontId="62" fillId="13" borderId="0" xfId="0" applyFont="1" applyFill="1" applyAlignment="1">
      <alignment horizontal="left" vertical="center" indent="1"/>
    </xf>
    <xf numFmtId="0" fontId="64" fillId="14" borderId="0" xfId="6" applyFont="1" applyFill="1" applyAlignment="1">
      <alignment horizontal="right" vertical="center"/>
    </xf>
    <xf numFmtId="0" fontId="3" fillId="14" borderId="0" xfId="0" applyFont="1" applyFill="1"/>
    <xf numFmtId="0" fontId="62" fillId="13" borderId="0" xfId="0" applyFont="1" applyFill="1" applyAlignment="1">
      <alignment vertical="center" wrapText="1"/>
    </xf>
    <xf numFmtId="0" fontId="62" fillId="13" borderId="0" xfId="0" applyFont="1" applyFill="1" applyAlignment="1">
      <alignment horizontal="left" vertical="center" wrapText="1" indent="1"/>
    </xf>
    <xf numFmtId="0" fontId="62" fillId="13" borderId="0" xfId="0" applyFont="1" applyFill="1" applyAlignment="1">
      <alignment horizontal="right" vertical="center" wrapText="1"/>
    </xf>
    <xf numFmtId="0" fontId="62" fillId="13" borderId="22" xfId="0" applyFont="1" applyFill="1" applyBorder="1" applyAlignment="1">
      <alignment horizontal="right" vertical="center" wrapText="1"/>
    </xf>
    <xf numFmtId="0" fontId="10" fillId="14" borderId="0" xfId="1" applyFont="1" applyFill="1" applyBorder="1" applyAlignment="1">
      <alignment horizontal="left" vertical="center"/>
    </xf>
    <xf numFmtId="0" fontId="64" fillId="14" borderId="0" xfId="6" applyFont="1" applyFill="1" applyAlignment="1">
      <alignment vertical="center"/>
    </xf>
    <xf numFmtId="0" fontId="62" fillId="13" borderId="0" xfId="0" applyFont="1" applyFill="1" applyAlignment="1">
      <alignment vertical="center"/>
    </xf>
    <xf numFmtId="0" fontId="62" fillId="13" borderId="0" xfId="0" applyFont="1" applyFill="1" applyAlignment="1">
      <alignment horizontal="center" vertical="center" wrapText="1"/>
    </xf>
    <xf numFmtId="0" fontId="31" fillId="13" borderId="0" xfId="0" applyFont="1" applyFill="1" applyAlignment="1">
      <alignment horizontal="center" vertical="center"/>
    </xf>
    <xf numFmtId="0" fontId="31" fillId="13" borderId="0" xfId="0" applyFont="1" applyFill="1" applyAlignment="1">
      <alignment horizontal="right" vertical="center"/>
    </xf>
    <xf numFmtId="0" fontId="31" fillId="13" borderId="0" xfId="0" applyFont="1" applyFill="1" applyAlignment="1">
      <alignment vertical="center"/>
    </xf>
    <xf numFmtId="0" fontId="62" fillId="13" borderId="0" xfId="0" applyFont="1" applyFill="1" applyAlignment="1">
      <alignment horizontal="center" vertical="center"/>
    </xf>
    <xf numFmtId="0" fontId="62" fillId="13" borderId="0" xfId="0" applyFont="1" applyFill="1" applyAlignment="1">
      <alignment horizontal="right" vertical="center"/>
    </xf>
    <xf numFmtId="0" fontId="66" fillId="13" borderId="0" xfId="0" applyFont="1" applyFill="1" applyAlignment="1">
      <alignment horizontal="center"/>
    </xf>
    <xf numFmtId="0" fontId="66" fillId="13" borderId="0" xfId="0" applyFont="1" applyFill="1" applyAlignment="1">
      <alignment horizontal="right"/>
    </xf>
    <xf numFmtId="0" fontId="66" fillId="13" borderId="0" xfId="0" applyFont="1" applyFill="1"/>
    <xf numFmtId="0" fontId="63" fillId="13" borderId="0" xfId="0" applyFont="1" applyFill="1"/>
    <xf numFmtId="0" fontId="63" fillId="13" borderId="0" xfId="0" applyFont="1" applyFill="1" applyAlignment="1">
      <alignment horizontal="right"/>
    </xf>
    <xf numFmtId="0" fontId="67" fillId="13" borderId="0" xfId="0" applyFont="1" applyFill="1"/>
    <xf numFmtId="0" fontId="67" fillId="13" borderId="0" xfId="0" applyFont="1" applyFill="1" applyAlignment="1">
      <alignment horizontal="right"/>
    </xf>
    <xf numFmtId="0" fontId="3" fillId="13" borderId="0" xfId="0" applyFont="1" applyFill="1" applyAlignment="1">
      <alignment horizontal="center"/>
    </xf>
    <xf numFmtId="0" fontId="3" fillId="13" borderId="0" xfId="0" applyFont="1" applyFill="1" applyAlignment="1">
      <alignment horizontal="right"/>
    </xf>
    <xf numFmtId="0" fontId="3" fillId="13" borderId="0" xfId="0" applyFont="1" applyFill="1"/>
    <xf numFmtId="0" fontId="3" fillId="13" borderId="0" xfId="0" applyFont="1" applyFill="1" applyAlignment="1">
      <alignment wrapText="1"/>
    </xf>
    <xf numFmtId="0" fontId="3" fillId="13" borderId="0" xfId="0" applyFont="1" applyFill="1" applyAlignment="1">
      <alignment horizontal="right" wrapText="1"/>
    </xf>
    <xf numFmtId="0" fontId="46" fillId="0" borderId="17" xfId="0" applyFont="1" applyBorder="1" applyAlignment="1">
      <alignment vertical="center" wrapText="1"/>
    </xf>
    <xf numFmtId="0" fontId="46" fillId="0" borderId="17" xfId="0" applyFont="1" applyBorder="1" applyAlignment="1">
      <alignment horizontal="center" vertical="center" wrapText="1"/>
    </xf>
    <xf numFmtId="3" fontId="46" fillId="0" borderId="17" xfId="0" applyNumberFormat="1" applyFont="1" applyBorder="1" applyAlignment="1">
      <alignment horizontal="right" vertical="center" wrapText="1"/>
    </xf>
    <xf numFmtId="0" fontId="46" fillId="0" borderId="17" xfId="0" applyFont="1" applyBorder="1" applyAlignment="1">
      <alignment horizontal="right" vertical="center" wrapText="1"/>
    </xf>
    <xf numFmtId="0" fontId="51" fillId="0" borderId="0" xfId="0" applyFont="1" applyAlignment="1">
      <alignment vertical="center"/>
    </xf>
    <xf numFmtId="0" fontId="10" fillId="14" borderId="0" xfId="1" applyFont="1" applyFill="1" applyBorder="1" applyAlignment="1">
      <alignment horizontal="center" vertical="center"/>
    </xf>
    <xf numFmtId="0" fontId="37" fillId="0" borderId="0" xfId="2" applyFont="1" applyFill="1" applyBorder="1" applyAlignment="1">
      <alignment vertical="center"/>
    </xf>
    <xf numFmtId="0" fontId="8" fillId="0" borderId="0" xfId="6" applyFont="1" applyAlignment="1">
      <alignment horizontal="right"/>
    </xf>
    <xf numFmtId="0" fontId="12" fillId="0" borderId="0" xfId="2" applyFont="1" applyFill="1" applyBorder="1" applyAlignment="1">
      <alignment horizontal="left" vertical="top" wrapText="1"/>
    </xf>
    <xf numFmtId="0" fontId="50" fillId="0" borderId="0" xfId="2" applyFont="1" applyFill="1" applyBorder="1" applyAlignment="1">
      <alignment horizontal="left" vertical="top" wrapText="1"/>
    </xf>
    <xf numFmtId="167" fontId="35" fillId="0" borderId="14" xfId="0" applyNumberFormat="1" applyFont="1" applyBorder="1" applyAlignment="1">
      <alignment horizontal="right" vertical="center"/>
    </xf>
    <xf numFmtId="167" fontId="35" fillId="0" borderId="0" xfId="0" applyNumberFormat="1" applyFont="1" applyAlignment="1">
      <alignment horizontal="right" vertical="center"/>
    </xf>
    <xf numFmtId="167" fontId="8" fillId="0" borderId="0" xfId="0" applyNumberFormat="1" applyFont="1" applyAlignment="1">
      <alignment horizontal="right" vertical="center"/>
    </xf>
    <xf numFmtId="167" fontId="8" fillId="0" borderId="14" xfId="0" applyNumberFormat="1" applyFont="1" applyBorder="1" applyAlignment="1">
      <alignment horizontal="right" vertical="center"/>
    </xf>
    <xf numFmtId="0" fontId="35" fillId="0" borderId="20" xfId="0" applyFont="1" applyBorder="1" applyAlignment="1">
      <alignment vertical="center" wrapText="1"/>
    </xf>
    <xf numFmtId="167" fontId="35" fillId="0" borderId="16" xfId="0" applyNumberFormat="1" applyFont="1" applyBorder="1" applyAlignment="1">
      <alignment horizontal="right" vertical="center"/>
    </xf>
    <xf numFmtId="167" fontId="46" fillId="0" borderId="17" xfId="0" applyNumberFormat="1" applyFont="1" applyBorder="1" applyAlignment="1">
      <alignment horizontal="right" vertical="center"/>
    </xf>
    <xf numFmtId="167" fontId="35" fillId="0" borderId="13" xfId="0" applyNumberFormat="1" applyFont="1" applyBorder="1" applyAlignment="1">
      <alignment horizontal="right" vertical="center"/>
    </xf>
    <xf numFmtId="0" fontId="8" fillId="0" borderId="0" xfId="0" applyFont="1" applyAlignment="1">
      <alignment vertical="center" wrapText="1"/>
    </xf>
    <xf numFmtId="0" fontId="28" fillId="0" borderId="11" xfId="7" applyFont="1" applyBorder="1" applyAlignment="1">
      <alignment horizontal="right" vertical="center"/>
    </xf>
    <xf numFmtId="3" fontId="51" fillId="0" borderId="0" xfId="0" applyNumberFormat="1" applyFont="1"/>
    <xf numFmtId="0" fontId="62" fillId="0" borderId="0" xfId="0" applyFont="1" applyAlignment="1">
      <alignment vertical="center"/>
    </xf>
    <xf numFmtId="0" fontId="62" fillId="0" borderId="0" xfId="0" applyFont="1" applyAlignment="1">
      <alignment horizontal="right" vertical="center"/>
    </xf>
    <xf numFmtId="0" fontId="45" fillId="0" borderId="0" xfId="0" applyFont="1" applyAlignment="1">
      <alignment horizontal="left" vertical="center" indent="1"/>
    </xf>
    <xf numFmtId="0" fontId="45" fillId="0" borderId="13" xfId="0" applyFont="1" applyBorder="1" applyAlignment="1">
      <alignment horizontal="left" vertical="center" indent="1"/>
    </xf>
    <xf numFmtId="0" fontId="69" fillId="0" borderId="0" xfId="0" applyFont="1"/>
    <xf numFmtId="0" fontId="70" fillId="0" borderId="0" xfId="0" applyFont="1"/>
    <xf numFmtId="166" fontId="30" fillId="0" borderId="0" xfId="0" applyNumberFormat="1" applyFont="1" applyAlignment="1">
      <alignment horizontal="right" vertical="center"/>
    </xf>
    <xf numFmtId="0" fontId="53" fillId="0" borderId="0" xfId="62" applyFont="1" applyAlignment="1">
      <alignment horizontal="left" vertical="center"/>
    </xf>
    <xf numFmtId="0" fontId="35" fillId="0" borderId="6" xfId="0" applyFont="1" applyBorder="1" applyAlignment="1">
      <alignment vertical="center" wrapText="1"/>
    </xf>
    <xf numFmtId="0" fontId="35" fillId="0" borderId="23" xfId="0" applyFont="1" applyBorder="1" applyAlignment="1">
      <alignment vertical="center" wrapText="1"/>
    </xf>
    <xf numFmtId="0" fontId="35" fillId="0" borderId="14" xfId="0" applyFont="1" applyBorder="1" applyAlignment="1">
      <alignment vertical="center" wrapText="1"/>
    </xf>
    <xf numFmtId="0" fontId="55" fillId="14" borderId="0" xfId="0" applyFont="1" applyFill="1"/>
    <xf numFmtId="0" fontId="26" fillId="14" borderId="0" xfId="0" applyFont="1" applyFill="1"/>
    <xf numFmtId="0" fontId="0" fillId="14" borderId="0" xfId="0" applyFill="1"/>
    <xf numFmtId="0" fontId="62" fillId="14" borderId="0" xfId="5" applyFont="1" applyFill="1" applyAlignment="1">
      <alignment horizontal="center" vertical="center" wrapText="1"/>
    </xf>
    <xf numFmtId="3" fontId="28" fillId="0" borderId="13" xfId="7" applyNumberFormat="1" applyFont="1" applyBorder="1" applyAlignment="1">
      <alignment horizontal="right" vertical="center"/>
    </xf>
    <xf numFmtId="3" fontId="28" fillId="0" borderId="24" xfId="7" applyNumberFormat="1" applyFont="1" applyBorder="1" applyAlignment="1">
      <alignment horizontal="right" vertical="center"/>
    </xf>
    <xf numFmtId="0" fontId="28" fillId="0" borderId="13" xfId="7" applyFont="1" applyBorder="1" applyAlignment="1">
      <alignment horizontal="center" vertical="center"/>
    </xf>
    <xf numFmtId="0" fontId="8" fillId="0" borderId="13" xfId="0" applyFont="1" applyBorder="1" applyAlignment="1">
      <alignment horizontal="right" vertical="center"/>
    </xf>
    <xf numFmtId="0" fontId="8" fillId="0" borderId="14" xfId="0" applyFont="1" applyBorder="1" applyAlignment="1">
      <alignment horizontal="right" vertical="center"/>
    </xf>
    <xf numFmtId="3" fontId="35" fillId="0" borderId="13" xfId="0" applyNumberFormat="1" applyFont="1" applyBorder="1" applyAlignment="1">
      <alignment horizontal="right" vertical="center" wrapText="1"/>
    </xf>
    <xf numFmtId="3" fontId="35" fillId="0" borderId="13" xfId="0" applyNumberFormat="1" applyFont="1" applyBorder="1" applyAlignment="1">
      <alignment vertical="center" wrapText="1"/>
    </xf>
    <xf numFmtId="0" fontId="35" fillId="0" borderId="13" xfId="0" applyFont="1" applyBorder="1" applyAlignment="1">
      <alignment horizontal="right" vertical="center" wrapText="1"/>
    </xf>
    <xf numFmtId="0" fontId="35" fillId="0" borderId="0" xfId="0" applyFont="1" applyAlignment="1">
      <alignment horizontal="right" vertical="center" wrapText="1"/>
    </xf>
    <xf numFmtId="0" fontId="35" fillId="0" borderId="13" xfId="0" applyFont="1" applyBorder="1" applyAlignment="1">
      <alignment vertical="center" wrapText="1"/>
    </xf>
    <xf numFmtId="0" fontId="37" fillId="16" borderId="0" xfId="2" applyFont="1" applyFill="1" applyBorder="1" applyAlignment="1">
      <alignment vertical="center"/>
    </xf>
    <xf numFmtId="0" fontId="5" fillId="16" borderId="0" xfId="6" applyFont="1" applyFill="1" applyAlignment="1">
      <alignment horizontal="right"/>
    </xf>
    <xf numFmtId="0" fontId="0" fillId="16" borderId="0" xfId="0" applyFill="1"/>
    <xf numFmtId="171" fontId="35" fillId="0" borderId="16" xfId="53" applyNumberFormat="1" applyFont="1" applyBorder="1" applyAlignment="1">
      <alignment horizontal="right" vertical="center"/>
    </xf>
    <xf numFmtId="0" fontId="56" fillId="0" borderId="0" xfId="0" applyFont="1"/>
    <xf numFmtId="0" fontId="35" fillId="0" borderId="0" xfId="0" applyFont="1" applyAlignment="1">
      <alignment horizontal="left" vertical="center"/>
    </xf>
    <xf numFmtId="0" fontId="46" fillId="0" borderId="0" xfId="0" applyFont="1" applyAlignment="1">
      <alignment vertical="center" wrapText="1"/>
    </xf>
    <xf numFmtId="0" fontId="46" fillId="0" borderId="0" xfId="0" applyFont="1" applyAlignment="1">
      <alignment horizontal="center" vertical="center" wrapText="1"/>
    </xf>
    <xf numFmtId="3" fontId="46" fillId="0" borderId="0" xfId="0" applyNumberFormat="1" applyFont="1" applyAlignment="1">
      <alignment horizontal="right" vertical="center" wrapText="1"/>
    </xf>
    <xf numFmtId="0" fontId="46" fillId="0" borderId="0" xfId="0" applyFont="1" applyAlignment="1">
      <alignment horizontal="right" vertical="center" wrapText="1"/>
    </xf>
    <xf numFmtId="3" fontId="46" fillId="14" borderId="0" xfId="0" applyNumberFormat="1" applyFont="1" applyFill="1" applyAlignment="1">
      <alignment horizontal="right" vertical="center" wrapText="1"/>
    </xf>
    <xf numFmtId="0" fontId="46" fillId="14" borderId="0" xfId="0" applyFont="1" applyFill="1" applyAlignment="1">
      <alignment horizontal="right" vertical="center" wrapText="1"/>
    </xf>
    <xf numFmtId="0" fontId="71" fillId="14" borderId="0" xfId="0" applyFont="1" applyFill="1" applyAlignment="1">
      <alignment vertical="center" wrapText="1"/>
    </xf>
    <xf numFmtId="0" fontId="71" fillId="14" borderId="0" xfId="0" applyFont="1" applyFill="1" applyAlignment="1">
      <alignment horizontal="center" vertical="center" wrapText="1"/>
    </xf>
    <xf numFmtId="1" fontId="35" fillId="0" borderId="0" xfId="0" applyNumberFormat="1" applyFont="1" applyAlignment="1">
      <alignment horizontal="right" vertical="center"/>
    </xf>
    <xf numFmtId="1" fontId="46" fillId="0" borderId="17" xfId="0" applyNumberFormat="1" applyFont="1" applyBorder="1" applyAlignment="1">
      <alignment horizontal="right" vertical="center"/>
    </xf>
    <xf numFmtId="9" fontId="46" fillId="0" borderId="18" xfId="0" applyNumberFormat="1" applyFont="1" applyBorder="1" applyAlignment="1">
      <alignment vertical="center"/>
    </xf>
    <xf numFmtId="9" fontId="46" fillId="0" borderId="14" xfId="0" applyNumberFormat="1" applyFont="1" applyBorder="1" applyAlignment="1">
      <alignment vertical="center"/>
    </xf>
    <xf numFmtId="1" fontId="35" fillId="0" borderId="18" xfId="0" applyNumberFormat="1" applyFont="1" applyBorder="1" applyAlignment="1">
      <alignment horizontal="right" vertical="center"/>
    </xf>
    <xf numFmtId="1" fontId="35" fillId="0" borderId="16" xfId="0" applyNumberFormat="1" applyFont="1" applyBorder="1" applyAlignment="1">
      <alignment horizontal="right" vertical="center"/>
    </xf>
    <xf numFmtId="9" fontId="46" fillId="0" borderId="14" xfId="0" applyNumberFormat="1" applyFont="1" applyBorder="1" applyAlignment="1">
      <alignment horizontal="right" vertical="center"/>
    </xf>
    <xf numFmtId="9" fontId="46" fillId="0" borderId="13" xfId="0" applyNumberFormat="1" applyFont="1" applyBorder="1" applyAlignment="1">
      <alignment horizontal="right" vertical="center"/>
    </xf>
    <xf numFmtId="1" fontId="35" fillId="0" borderId="0" xfId="0" applyNumberFormat="1" applyFont="1" applyAlignment="1">
      <alignment horizontal="right" vertical="center" wrapText="1"/>
    </xf>
    <xf numFmtId="0" fontId="71" fillId="14" borderId="0" xfId="0" applyFont="1" applyFill="1" applyAlignment="1">
      <alignment horizontal="right" vertical="center" wrapText="1"/>
    </xf>
    <xf numFmtId="3" fontId="46" fillId="0" borderId="0" xfId="0" applyNumberFormat="1" applyFont="1" applyAlignment="1">
      <alignment vertical="center"/>
    </xf>
    <xf numFmtId="0" fontId="27" fillId="0" borderId="0" xfId="0" applyFont="1"/>
    <xf numFmtId="0" fontId="62" fillId="13" borderId="0" xfId="0" applyFont="1" applyFill="1" applyAlignment="1">
      <alignment horizontal="left" vertical="center"/>
    </xf>
    <xf numFmtId="3" fontId="0" fillId="0" borderId="0" xfId="0" applyNumberFormat="1"/>
    <xf numFmtId="0" fontId="68" fillId="0" borderId="0" xfId="0" applyFont="1"/>
    <xf numFmtId="0" fontId="8" fillId="0" borderId="0" xfId="0" applyFont="1" applyAlignment="1">
      <alignment vertical="center"/>
    </xf>
    <xf numFmtId="1" fontId="35" fillId="0" borderId="13" xfId="0" applyNumberFormat="1" applyFont="1" applyBorder="1" applyAlignment="1">
      <alignment horizontal="right" vertical="center"/>
    </xf>
    <xf numFmtId="171" fontId="35" fillId="0" borderId="0" xfId="53" applyNumberFormat="1" applyFont="1" applyBorder="1" applyAlignment="1">
      <alignment horizontal="right" vertical="center"/>
    </xf>
    <xf numFmtId="2" fontId="46" fillId="0" borderId="17" xfId="0" applyNumberFormat="1" applyFont="1" applyBorder="1" applyAlignment="1">
      <alignment vertical="center"/>
    </xf>
    <xf numFmtId="0" fontId="46" fillId="0" borderId="13" xfId="0" applyFont="1" applyBorder="1" applyAlignment="1">
      <alignment horizontal="center" vertical="center" wrapText="1"/>
    </xf>
    <xf numFmtId="3" fontId="46" fillId="0" borderId="13" xfId="0" applyNumberFormat="1" applyFont="1" applyBorder="1" applyAlignment="1">
      <alignment horizontal="right" vertical="center" wrapText="1"/>
    </xf>
    <xf numFmtId="0" fontId="46" fillId="0" borderId="13" xfId="0" applyFont="1" applyBorder="1" applyAlignment="1">
      <alignment horizontal="right" vertical="center" wrapText="1"/>
    </xf>
    <xf numFmtId="0" fontId="46" fillId="0" borderId="14" xfId="0" applyFont="1" applyBorder="1" applyAlignment="1">
      <alignment horizontal="center" vertical="center" wrapText="1"/>
    </xf>
    <xf numFmtId="3" fontId="46" fillId="0" borderId="14" xfId="0" applyNumberFormat="1" applyFont="1" applyBorder="1" applyAlignment="1">
      <alignment horizontal="right" vertical="center" wrapText="1"/>
    </xf>
    <xf numFmtId="0" fontId="46" fillId="0" borderId="14" xfId="0" applyFont="1" applyBorder="1" applyAlignment="1">
      <alignment horizontal="right" vertical="center" wrapText="1"/>
    </xf>
    <xf numFmtId="3" fontId="35" fillId="0" borderId="13" xfId="0" applyNumberFormat="1" applyFont="1" applyBorder="1" applyAlignment="1">
      <alignment vertical="center"/>
    </xf>
    <xf numFmtId="0" fontId="35" fillId="0" borderId="18" xfId="0" applyFont="1" applyBorder="1" applyAlignment="1">
      <alignment horizontal="left" vertical="center" indent="2"/>
    </xf>
    <xf numFmtId="3" fontId="35" fillId="0" borderId="18" xfId="0" applyNumberFormat="1" applyFont="1" applyBorder="1" applyAlignment="1">
      <alignment vertical="center"/>
    </xf>
    <xf numFmtId="4" fontId="35" fillId="0" borderId="0" xfId="0" applyNumberFormat="1" applyFont="1" applyAlignment="1">
      <alignment horizontal="right" vertical="center"/>
    </xf>
    <xf numFmtId="0" fontId="71" fillId="14" borderId="0" xfId="0" applyFont="1" applyFill="1" applyAlignment="1">
      <alignment horizontal="left" vertical="center" indent="2"/>
    </xf>
    <xf numFmtId="0" fontId="0" fillId="17" borderId="0" xfId="0" applyFill="1" applyAlignment="1">
      <alignment vertical="center"/>
    </xf>
    <xf numFmtId="0" fontId="27" fillId="0" borderId="0" xfId="0" applyFont="1" applyAlignment="1">
      <alignment vertical="center"/>
    </xf>
    <xf numFmtId="0" fontId="35" fillId="0" borderId="29" xfId="0" applyFont="1" applyBorder="1" applyAlignment="1">
      <alignment vertical="center" wrapText="1"/>
    </xf>
    <xf numFmtId="0" fontId="71" fillId="17" borderId="0" xfId="0" applyFont="1" applyFill="1" applyAlignment="1">
      <alignment vertical="center" wrapText="1"/>
    </xf>
    <xf numFmtId="0" fontId="75" fillId="17" borderId="0" xfId="0" applyFont="1" applyFill="1" applyAlignment="1">
      <alignment vertical="center"/>
    </xf>
    <xf numFmtId="0" fontId="73" fillId="17" borderId="0" xfId="0" applyFont="1" applyFill="1" applyAlignment="1">
      <alignment vertical="center" wrapText="1"/>
    </xf>
    <xf numFmtId="172" fontId="51" fillId="0" borderId="0" xfId="0" applyNumberFormat="1" applyFont="1"/>
    <xf numFmtId="2" fontId="0" fillId="0" borderId="0" xfId="0" applyNumberFormat="1"/>
    <xf numFmtId="173" fontId="35" fillId="0" borderId="14" xfId="53" applyNumberFormat="1" applyFont="1" applyBorder="1" applyAlignment="1">
      <alignment horizontal="right" vertical="center"/>
    </xf>
    <xf numFmtId="0" fontId="35" fillId="0" borderId="13" xfId="0" applyFont="1" applyBorder="1" applyAlignment="1">
      <alignment vertical="center"/>
    </xf>
    <xf numFmtId="0" fontId="28" fillId="0" borderId="8" xfId="9" applyNumberFormat="1" applyFont="1" applyBorder="1" applyAlignment="1">
      <alignment horizontal="right" vertical="center"/>
    </xf>
    <xf numFmtId="0" fontId="28" fillId="0" borderId="0" xfId="9" applyNumberFormat="1" applyFont="1" applyBorder="1" applyAlignment="1">
      <alignment horizontal="right" vertical="center"/>
    </xf>
    <xf numFmtId="0" fontId="28" fillId="0" borderId="11" xfId="9" applyNumberFormat="1" applyFont="1" applyBorder="1" applyAlignment="1">
      <alignment horizontal="right" vertical="center"/>
    </xf>
    <xf numFmtId="0" fontId="46" fillId="0" borderId="16" xfId="0" applyFont="1" applyBorder="1" applyAlignment="1">
      <alignment horizontal="center" vertical="center" wrapText="1"/>
    </xf>
    <xf numFmtId="0" fontId="35" fillId="0" borderId="0" xfId="0" applyFont="1" applyAlignment="1">
      <alignment horizontal="right"/>
    </xf>
    <xf numFmtId="3" fontId="35" fillId="0" borderId="14" xfId="0" applyNumberFormat="1" applyFont="1" applyBorder="1" applyAlignment="1">
      <alignment vertical="center" wrapText="1"/>
    </xf>
    <xf numFmtId="1" fontId="35" fillId="0" borderId="14" xfId="0" applyNumberFormat="1" applyFont="1" applyBorder="1" applyAlignment="1">
      <alignment horizontal="right" vertical="center" wrapText="1"/>
    </xf>
    <xf numFmtId="0" fontId="35" fillId="0" borderId="14" xfId="0" applyFont="1" applyBorder="1" applyAlignment="1">
      <alignment horizontal="right" vertical="center" wrapText="1"/>
    </xf>
    <xf numFmtId="0" fontId="52" fillId="14" borderId="0" xfId="0" applyFont="1" applyFill="1"/>
    <xf numFmtId="0" fontId="14" fillId="14" borderId="0" xfId="0" applyFont="1" applyFill="1"/>
    <xf numFmtId="0" fontId="78" fillId="14" borderId="0" xfId="0" applyFont="1" applyFill="1"/>
    <xf numFmtId="0" fontId="79" fillId="14" borderId="0" xfId="54" applyFont="1" applyFill="1"/>
    <xf numFmtId="0" fontId="80" fillId="14" borderId="0" xfId="0" applyFont="1" applyFill="1"/>
    <xf numFmtId="0" fontId="62" fillId="14" borderId="0" xfId="5" applyFont="1" applyFill="1" applyBorder="1" applyAlignment="1">
      <alignment horizontal="left" vertical="center" wrapText="1"/>
    </xf>
    <xf numFmtId="0" fontId="28" fillId="0" borderId="0" xfId="7" applyFont="1" applyBorder="1" applyAlignment="1">
      <alignment horizontal="left" vertical="center"/>
    </xf>
    <xf numFmtId="0" fontId="28" fillId="0" borderId="8" xfId="7" applyFont="1" applyBorder="1" applyAlignment="1">
      <alignment horizontal="left" vertical="center"/>
    </xf>
    <xf numFmtId="0" fontId="28" fillId="0" borderId="11" xfId="7" applyFont="1" applyBorder="1" applyAlignment="1">
      <alignment horizontal="left" vertical="center"/>
    </xf>
    <xf numFmtId="0" fontId="62" fillId="14" borderId="0" xfId="4" applyFont="1" applyFill="1" applyBorder="1" applyAlignment="1">
      <alignment horizontal="left" vertical="center"/>
    </xf>
    <xf numFmtId="0" fontId="28" fillId="0" borderId="6" xfId="7" quotePrefix="1" applyFont="1" applyBorder="1" applyAlignment="1">
      <alignment horizontal="left" vertical="center"/>
    </xf>
    <xf numFmtId="166" fontId="35" fillId="0" borderId="13" xfId="0" applyNumberFormat="1" applyFont="1" applyBorder="1" applyAlignment="1">
      <alignment vertical="center" wrapText="1"/>
    </xf>
    <xf numFmtId="0" fontId="28" fillId="0" borderId="0" xfId="7" quotePrefix="1" applyFont="1" applyBorder="1" applyAlignment="1">
      <alignment horizontal="left" vertical="center"/>
    </xf>
    <xf numFmtId="0" fontId="28" fillId="0" borderId="8" xfId="7" quotePrefix="1" applyFont="1" applyBorder="1" applyAlignment="1">
      <alignment horizontal="left" vertical="center"/>
    </xf>
    <xf numFmtId="0" fontId="28" fillId="0" borderId="4" xfId="7" quotePrefix="1" applyFont="1" applyBorder="1" applyAlignment="1">
      <alignment horizontal="left" vertical="center"/>
    </xf>
    <xf numFmtId="166" fontId="35" fillId="0" borderId="15" xfId="0" applyNumberFormat="1" applyFont="1" applyBorder="1" applyAlignment="1">
      <alignment vertical="center" wrapText="1"/>
    </xf>
    <xf numFmtId="0" fontId="29" fillId="0" borderId="5" xfId="7" applyFont="1" applyBorder="1" applyAlignment="1">
      <alignment horizontal="left" vertical="center"/>
    </xf>
    <xf numFmtId="166" fontId="46" fillId="0" borderId="16" xfId="0" applyNumberFormat="1" applyFont="1" applyBorder="1" applyAlignment="1">
      <alignment vertical="center" wrapText="1"/>
    </xf>
    <xf numFmtId="165" fontId="28" fillId="0" borderId="0" xfId="7" applyNumberFormat="1" applyFont="1" applyBorder="1">
      <alignment vertical="center"/>
    </xf>
    <xf numFmtId="0" fontId="35" fillId="0" borderId="13" xfId="0" applyFont="1" applyBorder="1" applyAlignment="1">
      <alignment horizontal="center" vertical="center" wrapText="1"/>
    </xf>
    <xf numFmtId="165" fontId="27" fillId="0" borderId="0" xfId="0" applyNumberFormat="1" applyFont="1" applyAlignment="1">
      <alignment vertical="center"/>
    </xf>
    <xf numFmtId="0" fontId="35" fillId="0" borderId="0" xfId="0" applyFont="1" applyAlignment="1">
      <alignment horizontal="center" vertical="center" wrapText="1"/>
    </xf>
    <xf numFmtId="0" fontId="35" fillId="0" borderId="14" xfId="0" applyFont="1" applyBorder="1" applyAlignment="1">
      <alignment horizontal="center" vertical="center" wrapText="1"/>
    </xf>
    <xf numFmtId="0" fontId="35" fillId="0" borderId="15" xfId="0" applyFont="1" applyBorder="1" applyAlignment="1">
      <alignment horizontal="center" vertical="center" wrapText="1"/>
    </xf>
    <xf numFmtId="3" fontId="28" fillId="0" borderId="0" xfId="7" applyNumberFormat="1" applyFont="1" applyBorder="1">
      <alignment vertical="center"/>
    </xf>
    <xf numFmtId="0" fontId="28" fillId="0" borderId="7" xfId="7" quotePrefix="1" applyFont="1" applyBorder="1" applyAlignment="1">
      <alignment horizontal="left" vertical="center"/>
    </xf>
    <xf numFmtId="0" fontId="35" fillId="0" borderId="18" xfId="0" applyFont="1" applyBorder="1" applyAlignment="1">
      <alignment horizontal="center" vertical="center" wrapText="1"/>
    </xf>
    <xf numFmtId="0" fontId="35" fillId="0" borderId="18" xfId="0" applyFont="1" applyBorder="1" applyAlignment="1">
      <alignment vertical="center" wrapText="1"/>
    </xf>
    <xf numFmtId="0" fontId="28" fillId="0" borderId="9" xfId="7" quotePrefix="1" applyFont="1" applyBorder="1" applyAlignment="1">
      <alignment horizontal="left" vertical="center"/>
    </xf>
    <xf numFmtId="0" fontId="35" fillId="0" borderId="19" xfId="0" applyFont="1" applyBorder="1" applyAlignment="1">
      <alignment horizontal="center" vertical="center" wrapText="1"/>
    </xf>
    <xf numFmtId="0" fontId="35" fillId="0" borderId="19" xfId="0" applyFont="1" applyBorder="1" applyAlignment="1">
      <alignment vertical="center" wrapText="1"/>
    </xf>
    <xf numFmtId="0" fontId="29" fillId="0" borderId="10" xfId="7" applyFont="1" applyBorder="1" applyAlignment="1">
      <alignment horizontal="left" vertical="center"/>
    </xf>
    <xf numFmtId="3" fontId="28" fillId="0" borderId="6" xfId="7" applyNumberFormat="1" applyFont="1" applyBorder="1">
      <alignment vertical="center"/>
    </xf>
    <xf numFmtId="3" fontId="28" fillId="0" borderId="8" xfId="7" applyNumberFormat="1" applyFont="1" applyBorder="1">
      <alignment vertical="center"/>
    </xf>
    <xf numFmtId="3" fontId="29" fillId="0" borderId="5" xfId="7" applyNumberFormat="1" applyFont="1" applyBorder="1">
      <alignment vertical="center"/>
    </xf>
    <xf numFmtId="0" fontId="63" fillId="14" borderId="0" xfId="0" applyFont="1" applyFill="1" applyAlignment="1">
      <alignment horizontal="right" vertical="center"/>
    </xf>
    <xf numFmtId="166" fontId="35" fillId="0" borderId="13" xfId="0" applyNumberFormat="1" applyFont="1" applyBorder="1" applyAlignment="1">
      <alignment horizontal="right" vertical="center" wrapText="1"/>
    </xf>
    <xf numFmtId="166" fontId="35" fillId="0" borderId="15" xfId="0" applyNumberFormat="1" applyFont="1" applyBorder="1" applyAlignment="1">
      <alignment horizontal="right" vertical="center" wrapText="1"/>
    </xf>
    <xf numFmtId="166" fontId="46" fillId="0" borderId="16" xfId="0" applyNumberFormat="1" applyFont="1" applyBorder="1" applyAlignment="1">
      <alignment horizontal="right" vertical="center" wrapText="1"/>
    </xf>
    <xf numFmtId="0" fontId="35" fillId="0" borderId="18" xfId="0" applyFont="1" applyBorder="1" applyAlignment="1">
      <alignment horizontal="right" vertical="center" wrapText="1"/>
    </xf>
    <xf numFmtId="0" fontId="35" fillId="0" borderId="19" xfId="0" applyFont="1" applyBorder="1" applyAlignment="1">
      <alignment horizontal="right" vertical="center" wrapText="1"/>
    </xf>
    <xf numFmtId="0" fontId="46" fillId="0" borderId="16" xfId="0" applyFont="1" applyBorder="1" applyAlignment="1">
      <alignment horizontal="right" vertical="center" wrapText="1"/>
    </xf>
    <xf numFmtId="0" fontId="28" fillId="0" borderId="6" xfId="9" applyNumberFormat="1" applyFont="1" applyBorder="1" applyAlignment="1">
      <alignment horizontal="right" vertical="center"/>
    </xf>
    <xf numFmtId="0" fontId="35" fillId="0" borderId="0" xfId="7" applyFont="1" applyBorder="1" applyAlignment="1">
      <alignment horizontal="right" vertical="center"/>
    </xf>
    <xf numFmtId="0" fontId="35" fillId="0" borderId="7" xfId="7" applyFont="1" applyBorder="1" applyAlignment="1">
      <alignment horizontal="right" vertical="center"/>
    </xf>
    <xf numFmtId="0" fontId="35" fillId="0" borderId="11" xfId="7" applyFont="1" applyBorder="1" applyAlignment="1">
      <alignment horizontal="right" vertical="center"/>
    </xf>
    <xf numFmtId="0" fontId="47" fillId="17" borderId="0" xfId="0" applyFont="1" applyFill="1" applyAlignment="1">
      <alignment vertical="center"/>
    </xf>
    <xf numFmtId="0" fontId="38" fillId="17" borderId="0" xfId="0" applyFont="1" applyFill="1" applyAlignment="1">
      <alignment vertical="center" wrapText="1"/>
    </xf>
    <xf numFmtId="0" fontId="40" fillId="17" borderId="0" xfId="0" applyFont="1" applyFill="1" applyAlignment="1">
      <alignment vertical="center" wrapText="1"/>
    </xf>
    <xf numFmtId="0" fontId="35" fillId="0" borderId="30" xfId="0" applyFont="1" applyBorder="1" applyAlignment="1">
      <alignment vertical="center" wrapText="1"/>
    </xf>
    <xf numFmtId="0" fontId="35" fillId="0" borderId="29" xfId="0" applyFont="1" applyBorder="1" applyAlignment="1">
      <alignment vertical="center"/>
    </xf>
    <xf numFmtId="0" fontId="35" fillId="0" borderId="32" xfId="0" applyFont="1" applyBorder="1" applyAlignment="1">
      <alignment vertical="center"/>
    </xf>
    <xf numFmtId="0" fontId="35" fillId="0" borderId="32" xfId="0" applyFont="1" applyBorder="1" applyAlignment="1">
      <alignment vertical="center" wrapText="1"/>
    </xf>
    <xf numFmtId="0" fontId="35" fillId="0" borderId="30" xfId="0" applyFont="1" applyBorder="1" applyAlignment="1">
      <alignment vertical="center"/>
    </xf>
    <xf numFmtId="0" fontId="35" fillId="0" borderId="34" xfId="0" applyFont="1" applyBorder="1" applyAlignment="1">
      <alignment vertical="center" wrapText="1"/>
    </xf>
    <xf numFmtId="0" fontId="71" fillId="17" borderId="0" xfId="0" applyFont="1" applyFill="1" applyAlignment="1">
      <alignment vertical="center"/>
    </xf>
    <xf numFmtId="0" fontId="35" fillId="0" borderId="33" xfId="0" applyFont="1" applyBorder="1" applyAlignment="1">
      <alignment vertical="center" wrapText="1"/>
    </xf>
    <xf numFmtId="0" fontId="8" fillId="0" borderId="32" xfId="0" applyFont="1" applyBorder="1" applyAlignment="1">
      <alignment vertical="center" wrapText="1"/>
    </xf>
    <xf numFmtId="0" fontId="28" fillId="0" borderId="31" xfId="0" applyFont="1" applyBorder="1" applyAlignment="1">
      <alignment vertical="center"/>
    </xf>
    <xf numFmtId="0" fontId="8" fillId="0" borderId="31" xfId="0" applyFont="1" applyBorder="1" applyAlignment="1">
      <alignment vertical="center" wrapText="1"/>
    </xf>
    <xf numFmtId="0" fontId="71" fillId="14" borderId="0" xfId="0" applyFont="1" applyFill="1" applyAlignment="1">
      <alignment vertical="center"/>
    </xf>
    <xf numFmtId="0" fontId="28" fillId="0" borderId="13" xfId="0" applyFont="1" applyBorder="1" applyAlignment="1">
      <alignment vertical="center"/>
    </xf>
    <xf numFmtId="169" fontId="28" fillId="0" borderId="0" xfId="7" quotePrefix="1" applyNumberFormat="1" applyFont="1" applyBorder="1" applyAlignment="1">
      <alignment horizontal="right" vertical="center" indent="2"/>
    </xf>
    <xf numFmtId="169" fontId="28" fillId="0" borderId="11" xfId="7" quotePrefix="1" applyNumberFormat="1" applyFont="1" applyBorder="1" applyAlignment="1">
      <alignment horizontal="right" vertical="center" indent="2"/>
    </xf>
    <xf numFmtId="3" fontId="35" fillId="0" borderId="0" xfId="0" applyNumberFormat="1" applyFont="1" applyAlignment="1">
      <alignment horizontal="left" vertical="center" indent="1"/>
    </xf>
    <xf numFmtId="173" fontId="35" fillId="0" borderId="14" xfId="53" applyNumberFormat="1" applyFont="1" applyFill="1" applyBorder="1" applyAlignment="1">
      <alignment horizontal="right" vertical="center"/>
    </xf>
    <xf numFmtId="174" fontId="27" fillId="0" borderId="0" xfId="0" applyNumberFormat="1" applyFont="1"/>
    <xf numFmtId="174" fontId="46" fillId="0" borderId="0" xfId="0" applyNumberFormat="1" applyFont="1" applyAlignment="1">
      <alignment horizontal="right"/>
    </xf>
    <xf numFmtId="174" fontId="28" fillId="0" borderId="0" xfId="0" applyNumberFormat="1" applyFont="1"/>
    <xf numFmtId="174" fontId="27" fillId="18" borderId="0" xfId="0" applyNumberFormat="1" applyFont="1" applyFill="1"/>
    <xf numFmtId="167" fontId="35" fillId="0" borderId="14" xfId="0" quotePrefix="1" applyNumberFormat="1" applyFont="1" applyBorder="1" applyAlignment="1">
      <alignment horizontal="right" vertical="center"/>
    </xf>
    <xf numFmtId="0" fontId="51" fillId="20" borderId="0" xfId="0" applyFont="1" applyFill="1"/>
    <xf numFmtId="167" fontId="35" fillId="0" borderId="0" xfId="53" applyNumberFormat="1" applyFont="1" applyBorder="1" applyAlignment="1">
      <alignment horizontal="right" vertical="center"/>
    </xf>
    <xf numFmtId="171" fontId="0" fillId="0" borderId="0" xfId="53" applyNumberFormat="1" applyFont="1"/>
    <xf numFmtId="2" fontId="51" fillId="0" borderId="0" xfId="0" applyNumberFormat="1" applyFont="1"/>
    <xf numFmtId="9" fontId="51" fillId="0" borderId="0" xfId="9" applyFont="1"/>
    <xf numFmtId="4" fontId="0" fillId="0" borderId="0" xfId="0" applyNumberFormat="1"/>
    <xf numFmtId="167" fontId="51" fillId="0" borderId="0" xfId="9" applyNumberFormat="1" applyFont="1"/>
    <xf numFmtId="0" fontId="58" fillId="20" borderId="0" xfId="0" applyFont="1" applyFill="1"/>
    <xf numFmtId="0" fontId="71" fillId="13" borderId="0" xfId="0" applyFont="1" applyFill="1" applyAlignment="1">
      <alignment vertical="center"/>
    </xf>
    <xf numFmtId="0" fontId="71" fillId="13" borderId="0" xfId="0" applyFont="1" applyFill="1" applyAlignment="1">
      <alignment horizontal="left" vertical="center" indent="1"/>
    </xf>
    <xf numFmtId="169" fontId="29" fillId="0" borderId="5" xfId="7" applyNumberFormat="1" applyFont="1" applyBorder="1" applyAlignment="1">
      <alignment horizontal="right" vertical="center"/>
    </xf>
    <xf numFmtId="169" fontId="35" fillId="0" borderId="16" xfId="0" applyNumberFormat="1" applyFont="1" applyBorder="1" applyAlignment="1">
      <alignment horizontal="right" vertical="center"/>
    </xf>
    <xf numFmtId="9" fontId="51" fillId="0" borderId="0" xfId="0" applyNumberFormat="1" applyFont="1"/>
    <xf numFmtId="0" fontId="83" fillId="0" borderId="0" xfId="0" applyFont="1" applyAlignment="1">
      <alignment horizontal="left" vertical="center" indent="2"/>
    </xf>
    <xf numFmtId="0" fontId="8" fillId="0" borderId="14" xfId="0" applyFont="1" applyBorder="1" applyAlignment="1">
      <alignment vertical="center"/>
    </xf>
    <xf numFmtId="0" fontId="31" fillId="14" borderId="0" xfId="0" applyFont="1" applyFill="1" applyAlignment="1">
      <alignment vertical="center"/>
    </xf>
    <xf numFmtId="0" fontId="71" fillId="14" borderId="0" xfId="0" applyFont="1" applyFill="1" applyAlignment="1">
      <alignment horizontal="left" vertical="center" wrapText="1"/>
    </xf>
    <xf numFmtId="0" fontId="72" fillId="0" borderId="0" xfId="0" applyFont="1" applyAlignment="1">
      <alignment horizontal="left" indent="2"/>
    </xf>
    <xf numFmtId="0" fontId="72" fillId="0" borderId="14" xfId="0" applyFont="1" applyBorder="1" applyAlignment="1">
      <alignment horizontal="left" indent="2"/>
    </xf>
    <xf numFmtId="3" fontId="35" fillId="0" borderId="14" xfId="0" applyNumberFormat="1" applyFont="1" applyBorder="1" applyAlignment="1">
      <alignment horizontal="right" vertical="center" wrapText="1"/>
    </xf>
    <xf numFmtId="49" fontId="35" fillId="0" borderId="13" xfId="0" applyNumberFormat="1" applyFont="1" applyBorder="1" applyAlignment="1">
      <alignment horizontal="left" vertical="center" wrapText="1" indent="2"/>
    </xf>
    <xf numFmtId="0" fontId="62" fillId="14" borderId="0" xfId="0" applyFont="1" applyFill="1" applyAlignment="1">
      <alignment horizontal="center" vertical="center"/>
    </xf>
    <xf numFmtId="0" fontId="62" fillId="14" borderId="0" xfId="0" applyFont="1" applyFill="1" applyAlignment="1">
      <alignment vertical="center"/>
    </xf>
    <xf numFmtId="0" fontId="62" fillId="14" borderId="0" xfId="0" applyFont="1" applyFill="1" applyAlignment="1">
      <alignment horizontal="right" vertical="center"/>
    </xf>
    <xf numFmtId="1" fontId="62" fillId="14" borderId="0" xfId="0" applyNumberFormat="1" applyFont="1" applyFill="1" applyAlignment="1">
      <alignment vertical="center"/>
    </xf>
    <xf numFmtId="0" fontId="28" fillId="0" borderId="0" xfId="0" applyFont="1" applyAlignment="1">
      <alignment horizontal="right" vertical="center"/>
    </xf>
    <xf numFmtId="166" fontId="28" fillId="0" borderId="0" xfId="0" applyNumberFormat="1" applyFont="1" applyAlignment="1">
      <alignment vertical="center"/>
    </xf>
    <xf numFmtId="166" fontId="28" fillId="0" borderId="0" xfId="0" applyNumberFormat="1" applyFont="1" applyAlignment="1">
      <alignment horizontal="right" vertical="center"/>
    </xf>
    <xf numFmtId="0" fontId="28" fillId="0" borderId="8" xfId="0" applyFont="1" applyBorder="1" applyAlignment="1">
      <alignment vertical="center"/>
    </xf>
    <xf numFmtId="0" fontId="28" fillId="0" borderId="8" xfId="0" applyFont="1" applyBorder="1" applyAlignment="1">
      <alignment horizontal="center" vertical="center"/>
    </xf>
    <xf numFmtId="0" fontId="28" fillId="0" borderId="8" xfId="0" applyFont="1" applyBorder="1" applyAlignment="1">
      <alignment horizontal="right" vertical="center"/>
    </xf>
    <xf numFmtId="166" fontId="28" fillId="0" borderId="8" xfId="0" applyNumberFormat="1" applyFont="1" applyBorder="1" applyAlignment="1">
      <alignment vertical="center"/>
    </xf>
    <xf numFmtId="166" fontId="28" fillId="0" borderId="8" xfId="0" applyNumberFormat="1" applyFont="1" applyBorder="1" applyAlignment="1">
      <alignment horizontal="right" vertical="center"/>
    </xf>
    <xf numFmtId="166" fontId="8" fillId="0" borderId="8" xfId="0" applyNumberFormat="1" applyFont="1" applyBorder="1" applyAlignment="1">
      <alignment vertical="center" wrapText="1"/>
    </xf>
    <xf numFmtId="0" fontId="28" fillId="0" borderId="23" xfId="0" applyFont="1" applyBorder="1" applyAlignment="1">
      <alignment vertical="center"/>
    </xf>
    <xf numFmtId="0" fontId="28" fillId="0" borderId="23" xfId="0" applyFont="1" applyBorder="1" applyAlignment="1">
      <alignment horizontal="right" vertical="center"/>
    </xf>
    <xf numFmtId="0" fontId="8" fillId="0" borderId="23" xfId="0" applyFont="1" applyBorder="1" applyAlignment="1">
      <alignment vertical="center" wrapText="1"/>
    </xf>
    <xf numFmtId="166" fontId="28" fillId="0" borderId="23" xfId="0" applyNumberFormat="1" applyFont="1" applyBorder="1" applyAlignment="1">
      <alignment vertical="center"/>
    </xf>
    <xf numFmtId="0" fontId="28" fillId="0" borderId="14" xfId="0" applyFont="1" applyBorder="1" applyAlignment="1">
      <alignment horizontal="right" vertical="center"/>
    </xf>
    <xf numFmtId="165" fontId="28" fillId="0" borderId="14" xfId="0" applyNumberFormat="1" applyFont="1" applyBorder="1" applyAlignment="1">
      <alignment horizontal="right" vertical="center"/>
    </xf>
    <xf numFmtId="165" fontId="28" fillId="0" borderId="13" xfId="0" applyNumberFormat="1" applyFont="1" applyBorder="1" applyAlignment="1">
      <alignment horizontal="right" vertical="center"/>
    </xf>
    <xf numFmtId="165" fontId="28" fillId="0" borderId="0" xfId="0" applyNumberFormat="1" applyFont="1" applyAlignment="1">
      <alignment horizontal="right" vertical="center"/>
    </xf>
    <xf numFmtId="0" fontId="8" fillId="0" borderId="8" xfId="0" applyFont="1" applyBorder="1" applyAlignment="1">
      <alignment vertical="center" wrapText="1"/>
    </xf>
    <xf numFmtId="0" fontId="28" fillId="0" borderId="23" xfId="0" applyFont="1" applyBorder="1" applyAlignment="1">
      <alignment horizontal="center" vertical="center"/>
    </xf>
    <xf numFmtId="0" fontId="8" fillId="0" borderId="23" xfId="0" applyFont="1" applyBorder="1" applyAlignment="1">
      <alignment horizontal="right" vertical="center" wrapText="1"/>
    </xf>
    <xf numFmtId="166" fontId="28" fillId="0" borderId="23" xfId="0" applyNumberFormat="1" applyFont="1" applyBorder="1" applyAlignment="1">
      <alignment horizontal="right" vertical="center"/>
    </xf>
    <xf numFmtId="0" fontId="27" fillId="0" borderId="23" xfId="0" applyFont="1" applyBorder="1" applyAlignment="1">
      <alignment horizontal="right" vertical="center"/>
    </xf>
    <xf numFmtId="166" fontId="8" fillId="0" borderId="8" xfId="0" applyNumberFormat="1" applyFont="1" applyBorder="1" applyAlignment="1">
      <alignment horizontal="right" vertical="center" wrapText="1"/>
    </xf>
    <xf numFmtId="166" fontId="8" fillId="0" borderId="0" xfId="0" applyNumberFormat="1" applyFont="1" applyAlignment="1">
      <alignment horizontal="right" vertical="center" wrapText="1"/>
    </xf>
    <xf numFmtId="166" fontId="35" fillId="0" borderId="0" xfId="0" applyNumberFormat="1" applyFont="1" applyAlignment="1">
      <alignment vertical="center" wrapText="1"/>
    </xf>
    <xf numFmtId="0" fontId="28" fillId="19" borderId="8" xfId="0" applyFont="1" applyFill="1" applyBorder="1" applyAlignment="1">
      <alignment vertical="center"/>
    </xf>
    <xf numFmtId="0" fontId="28" fillId="0" borderId="11" xfId="0" applyFont="1" applyBorder="1" applyAlignment="1">
      <alignment vertical="center"/>
    </xf>
    <xf numFmtId="0" fontId="28" fillId="0" borderId="11" xfId="0" applyFont="1" applyBorder="1" applyAlignment="1">
      <alignment horizontal="center" vertical="center"/>
    </xf>
    <xf numFmtId="0" fontId="35" fillId="0" borderId="11" xfId="0" applyFont="1" applyBorder="1" applyAlignment="1">
      <alignment vertical="center" wrapText="1"/>
    </xf>
    <xf numFmtId="166" fontId="28" fillId="0" borderId="11" xfId="0" applyNumberFormat="1" applyFont="1" applyBorder="1" applyAlignment="1">
      <alignment vertical="center"/>
    </xf>
    <xf numFmtId="0" fontId="31" fillId="14" borderId="0" xfId="0" applyFont="1" applyFill="1" applyAlignment="1">
      <alignment horizontal="center" vertical="center"/>
    </xf>
    <xf numFmtId="0" fontId="31" fillId="14" borderId="0" xfId="0" applyFont="1" applyFill="1" applyAlignment="1">
      <alignment horizontal="right" vertical="center"/>
    </xf>
    <xf numFmtId="0" fontId="31" fillId="14" borderId="0" xfId="0" applyFont="1" applyFill="1" applyAlignment="1">
      <alignment wrapText="1"/>
    </xf>
    <xf numFmtId="166" fontId="31" fillId="14" borderId="0" xfId="0" applyNumberFormat="1" applyFont="1" applyFill="1" applyAlignment="1">
      <alignment vertical="center"/>
    </xf>
    <xf numFmtId="0" fontId="8" fillId="0" borderId="0" xfId="0" applyFont="1" applyAlignment="1">
      <alignment horizontal="center" vertical="center"/>
    </xf>
    <xf numFmtId="0" fontId="8" fillId="0" borderId="0" xfId="0" applyFont="1"/>
    <xf numFmtId="170" fontId="8" fillId="0" borderId="0" xfId="53" applyNumberFormat="1" applyFont="1" applyAlignment="1">
      <alignment horizontal="right" vertical="center"/>
    </xf>
    <xf numFmtId="165" fontId="8" fillId="0" borderId="0" xfId="0" applyNumberFormat="1" applyFont="1" applyAlignment="1">
      <alignment vertical="center"/>
    </xf>
    <xf numFmtId="166" fontId="35" fillId="0" borderId="25" xfId="0" applyNumberFormat="1" applyFont="1" applyBorder="1"/>
    <xf numFmtId="170" fontId="28" fillId="0" borderId="8" xfId="53" applyNumberFormat="1" applyFont="1" applyBorder="1" applyAlignment="1">
      <alignment horizontal="right" vertical="center"/>
    </xf>
    <xf numFmtId="165" fontId="28" fillId="0" borderId="8" xfId="0" applyNumberFormat="1" applyFont="1" applyBorder="1" applyAlignment="1">
      <alignment vertical="center"/>
    </xf>
    <xf numFmtId="170" fontId="28" fillId="0" borderId="0" xfId="53" applyNumberFormat="1" applyFont="1" applyAlignment="1">
      <alignment horizontal="right" vertical="center"/>
    </xf>
    <xf numFmtId="165" fontId="28" fillId="0" borderId="0" xfId="0" applyNumberFormat="1" applyFont="1" applyAlignment="1">
      <alignment vertical="center"/>
    </xf>
    <xf numFmtId="0" fontId="35" fillId="0" borderId="25" xfId="0" applyFont="1" applyBorder="1"/>
    <xf numFmtId="0" fontId="35" fillId="0" borderId="0" xfId="0" applyFont="1"/>
    <xf numFmtId="0" fontId="35" fillId="0" borderId="26" xfId="0" applyFont="1" applyBorder="1"/>
    <xf numFmtId="0" fontId="28" fillId="0" borderId="6" xfId="0" applyFont="1" applyBorder="1" applyAlignment="1">
      <alignment vertical="center"/>
    </xf>
    <xf numFmtId="0" fontId="28" fillId="0" borderId="6" xfId="0" applyFont="1" applyBorder="1" applyAlignment="1">
      <alignment horizontal="center" vertical="center"/>
    </xf>
    <xf numFmtId="4" fontId="35" fillId="0" borderId="26" xfId="0" applyNumberFormat="1" applyFont="1" applyBorder="1"/>
    <xf numFmtId="170" fontId="28" fillId="0" borderId="6" xfId="53" applyNumberFormat="1" applyFont="1" applyBorder="1" applyAlignment="1">
      <alignment horizontal="right" vertical="center"/>
    </xf>
    <xf numFmtId="165" fontId="28" fillId="0" borderId="6" xfId="0" applyNumberFormat="1" applyFont="1" applyBorder="1" applyAlignment="1">
      <alignment vertical="center"/>
    </xf>
    <xf numFmtId="4" fontId="35" fillId="0" borderId="13" xfId="0" applyNumberFormat="1" applyFont="1" applyBorder="1"/>
    <xf numFmtId="170" fontId="28" fillId="0" borderId="23" xfId="53" applyNumberFormat="1" applyFont="1" applyBorder="1" applyAlignment="1">
      <alignment horizontal="right" vertical="center"/>
    </xf>
    <xf numFmtId="165" fontId="28" fillId="0" borderId="23" xfId="0" applyNumberFormat="1" applyFont="1" applyBorder="1" applyAlignment="1">
      <alignment vertical="center"/>
    </xf>
    <xf numFmtId="0" fontId="29" fillId="0" borderId="0" xfId="0" applyFont="1" applyAlignment="1">
      <alignment vertical="center"/>
    </xf>
    <xf numFmtId="0" fontId="29" fillId="0" borderId="0" xfId="0" applyFont="1" applyAlignment="1">
      <alignment horizontal="center" vertical="center"/>
    </xf>
    <xf numFmtId="0" fontId="46" fillId="0" borderId="0" xfId="0" applyFont="1"/>
    <xf numFmtId="0" fontId="29" fillId="0" borderId="0" xfId="0" applyFont="1" applyAlignment="1">
      <alignment horizontal="right" vertical="center"/>
    </xf>
    <xf numFmtId="4" fontId="29" fillId="0" borderId="0" xfId="0" applyNumberFormat="1" applyFont="1" applyAlignment="1">
      <alignment vertical="center"/>
    </xf>
    <xf numFmtId="165" fontId="29" fillId="0" borderId="0" xfId="0" applyNumberFormat="1" applyFont="1" applyAlignment="1">
      <alignment vertical="center"/>
    </xf>
    <xf numFmtId="0" fontId="28" fillId="0" borderId="8" xfId="0" applyFont="1" applyBorder="1" applyAlignment="1">
      <alignment horizontal="left" vertical="center" indent="1"/>
    </xf>
    <xf numFmtId="165" fontId="28" fillId="0" borderId="8" xfId="0" applyNumberFormat="1" applyFont="1" applyBorder="1" applyAlignment="1">
      <alignment horizontal="right" vertical="center"/>
    </xf>
    <xf numFmtId="0" fontId="28" fillId="0" borderId="0" xfId="0" applyFont="1" applyAlignment="1">
      <alignment horizontal="left" vertical="center" indent="1"/>
    </xf>
    <xf numFmtId="4" fontId="28" fillId="0" borderId="0" xfId="0" applyNumberFormat="1" applyFont="1" applyAlignment="1">
      <alignment horizontal="right" vertical="center"/>
    </xf>
    <xf numFmtId="166" fontId="35" fillId="0" borderId="26" xfId="0" applyNumberFormat="1" applyFont="1" applyBorder="1" applyAlignment="1">
      <alignment horizontal="right"/>
    </xf>
    <xf numFmtId="0" fontId="35" fillId="0" borderId="26" xfId="0" applyFont="1" applyBorder="1" applyAlignment="1">
      <alignment horizontal="right"/>
    </xf>
    <xf numFmtId="165" fontId="28" fillId="0" borderId="23" xfId="0" applyNumberFormat="1" applyFont="1" applyBorder="1" applyAlignment="1">
      <alignment horizontal="right" vertical="center"/>
    </xf>
    <xf numFmtId="0" fontId="35" fillId="19" borderId="26" xfId="0" applyFont="1" applyFill="1" applyBorder="1" applyAlignment="1">
      <alignment horizontal="right"/>
    </xf>
    <xf numFmtId="0" fontId="35" fillId="0" borderId="0" xfId="62" applyFont="1" applyAlignment="1">
      <alignment vertical="center" wrapText="1"/>
    </xf>
    <xf numFmtId="0" fontId="28" fillId="0" borderId="14" xfId="0" applyFont="1" applyBorder="1" applyAlignment="1">
      <alignment horizontal="center" vertical="center"/>
    </xf>
    <xf numFmtId="165" fontId="28" fillId="0" borderId="6" xfId="62" applyNumberFormat="1" applyFont="1" applyBorder="1" applyAlignment="1">
      <alignment horizontal="right" vertical="center"/>
    </xf>
    <xf numFmtId="0" fontId="35" fillId="0" borderId="8" xfId="62" applyFont="1" applyBorder="1" applyAlignment="1">
      <alignment vertical="center" wrapText="1"/>
    </xf>
    <xf numFmtId="165" fontId="28" fillId="0" borderId="8" xfId="62" applyNumberFormat="1" applyFont="1" applyBorder="1" applyAlignment="1">
      <alignment horizontal="right" vertical="center"/>
    </xf>
    <xf numFmtId="166" fontId="35" fillId="0" borderId="8" xfId="0" applyNumberFormat="1" applyFont="1" applyBorder="1" applyAlignment="1">
      <alignment wrapText="1"/>
    </xf>
    <xf numFmtId="0" fontId="28" fillId="0" borderId="13" xfId="0" applyFont="1" applyBorder="1" applyAlignment="1">
      <alignment horizontal="center" vertical="center"/>
    </xf>
    <xf numFmtId="0" fontId="35" fillId="0" borderId="8" xfId="0" applyFont="1" applyBorder="1" applyAlignment="1">
      <alignment horizontal="right" vertical="center" wrapText="1"/>
    </xf>
    <xf numFmtId="0" fontId="29" fillId="0" borderId="6" xfId="0" applyFont="1" applyBorder="1" applyAlignment="1">
      <alignment vertical="center"/>
    </xf>
    <xf numFmtId="0" fontId="29" fillId="0" borderId="6" xfId="0" applyFont="1" applyBorder="1" applyAlignment="1">
      <alignment horizontal="center" vertical="center"/>
    </xf>
    <xf numFmtId="0" fontId="29" fillId="0" borderId="6" xfId="0" applyFont="1" applyBorder="1" applyAlignment="1">
      <alignment horizontal="right" vertical="center"/>
    </xf>
    <xf numFmtId="165" fontId="29" fillId="0" borderId="6" xfId="0" applyNumberFormat="1" applyFont="1" applyBorder="1" applyAlignment="1">
      <alignment vertical="center"/>
    </xf>
    <xf numFmtId="166" fontId="35" fillId="0" borderId="0" xfId="0" applyNumberFormat="1" applyFont="1" applyAlignment="1">
      <alignment wrapText="1"/>
    </xf>
    <xf numFmtId="170" fontId="28" fillId="0" borderId="8" xfId="53" applyNumberFormat="1" applyFont="1" applyFill="1" applyBorder="1" applyAlignment="1">
      <alignment horizontal="right" vertical="center"/>
    </xf>
    <xf numFmtId="0" fontId="35" fillId="0" borderId="8" xfId="0" applyFont="1" applyBorder="1" applyAlignment="1">
      <alignment wrapText="1"/>
    </xf>
    <xf numFmtId="167" fontId="35" fillId="0" borderId="27" xfId="0" applyNumberFormat="1" applyFont="1" applyBorder="1" applyAlignment="1">
      <alignment wrapText="1"/>
    </xf>
    <xf numFmtId="167" fontId="35" fillId="0" borderId="11" xfId="9" applyNumberFormat="1" applyFont="1" applyBorder="1" applyAlignment="1">
      <alignment vertical="center" wrapText="1"/>
    </xf>
    <xf numFmtId="167" fontId="35" fillId="0" borderId="11" xfId="0" applyNumberFormat="1" applyFont="1" applyBorder="1" applyAlignment="1">
      <alignment vertical="center" wrapText="1"/>
    </xf>
    <xf numFmtId="4" fontId="28" fillId="0" borderId="0" xfId="0" applyNumberFormat="1" applyFont="1" applyAlignment="1">
      <alignment vertical="center"/>
    </xf>
    <xf numFmtId="166" fontId="28" fillId="0" borderId="6" xfId="0" applyNumberFormat="1" applyFont="1" applyBorder="1" applyAlignment="1">
      <alignment vertical="center"/>
    </xf>
    <xf numFmtId="0" fontId="35" fillId="0" borderId="27" xfId="0" applyFont="1" applyBorder="1"/>
    <xf numFmtId="170" fontId="28" fillId="0" borderId="11" xfId="53" applyNumberFormat="1" applyFont="1" applyBorder="1" applyAlignment="1">
      <alignment horizontal="right" vertical="center"/>
    </xf>
    <xf numFmtId="170" fontId="62" fillId="14" borderId="0" xfId="53" applyNumberFormat="1" applyFont="1" applyFill="1" applyAlignment="1">
      <alignment horizontal="right" vertical="center"/>
    </xf>
    <xf numFmtId="166" fontId="35" fillId="0" borderId="6" xfId="0" applyNumberFormat="1" applyFont="1" applyBorder="1" applyAlignment="1">
      <alignment vertical="center" wrapText="1"/>
    </xf>
    <xf numFmtId="0" fontId="28" fillId="0" borderId="6" xfId="0" applyFont="1" applyBorder="1" applyAlignment="1">
      <alignment horizontal="right" vertical="center"/>
    </xf>
    <xf numFmtId="166" fontId="35" fillId="0" borderId="11" xfId="0" applyNumberFormat="1" applyFont="1" applyBorder="1" applyAlignment="1">
      <alignment vertical="center" wrapText="1"/>
    </xf>
    <xf numFmtId="0" fontId="28" fillId="0" borderId="11" xfId="0" applyFont="1" applyBorder="1" applyAlignment="1">
      <alignment horizontal="right" vertical="center"/>
    </xf>
    <xf numFmtId="0" fontId="35" fillId="0" borderId="28" xfId="0" applyFont="1" applyBorder="1"/>
    <xf numFmtId="165" fontId="28" fillId="0" borderId="11" xfId="0" applyNumberFormat="1" applyFont="1" applyBorder="1" applyAlignment="1">
      <alignment vertical="center"/>
    </xf>
    <xf numFmtId="166" fontId="62" fillId="14" borderId="0" xfId="0" applyNumberFormat="1" applyFont="1" applyFill="1" applyAlignment="1">
      <alignment vertical="center"/>
    </xf>
    <xf numFmtId="166" fontId="35" fillId="0" borderId="8" xfId="0" applyNumberFormat="1" applyFont="1" applyBorder="1" applyAlignment="1">
      <alignment vertical="center" wrapText="1"/>
    </xf>
    <xf numFmtId="166" fontId="35" fillId="0" borderId="27" xfId="0" applyNumberFormat="1" applyFont="1" applyBorder="1"/>
    <xf numFmtId="0" fontId="71" fillId="13" borderId="0" xfId="0" applyFont="1" applyFill="1" applyAlignment="1">
      <alignment wrapText="1"/>
    </xf>
    <xf numFmtId="170" fontId="62" fillId="14" borderId="0" xfId="53" applyNumberFormat="1" applyFont="1" applyFill="1" applyBorder="1" applyAlignment="1">
      <alignment horizontal="right" vertical="center" wrapText="1"/>
    </xf>
    <xf numFmtId="0" fontId="71" fillId="13" borderId="0" xfId="0" applyFont="1" applyFill="1"/>
    <xf numFmtId="166" fontId="35" fillId="0" borderId="0" xfId="0" applyNumberFormat="1" applyFont="1"/>
    <xf numFmtId="4" fontId="35" fillId="0" borderId="0" xfId="0" applyNumberFormat="1" applyFont="1"/>
    <xf numFmtId="4" fontId="35" fillId="0" borderId="25" xfId="0" applyNumberFormat="1" applyFont="1" applyBorder="1"/>
    <xf numFmtId="4" fontId="35" fillId="0" borderId="0" xfId="0" applyNumberFormat="1" applyFont="1" applyAlignment="1">
      <alignment vertical="center" wrapText="1"/>
    </xf>
    <xf numFmtId="1" fontId="28" fillId="0" borderId="8" xfId="0" applyNumberFormat="1" applyFont="1" applyBorder="1" applyAlignment="1">
      <alignment vertical="center"/>
    </xf>
    <xf numFmtId="165" fontId="35" fillId="0" borderId="0" xfId="0" applyNumberFormat="1" applyFont="1"/>
    <xf numFmtId="165" fontId="35" fillId="0" borderId="25" xfId="0" applyNumberFormat="1" applyFont="1" applyBorder="1"/>
    <xf numFmtId="166" fontId="28" fillId="0" borderId="0" xfId="53" applyNumberFormat="1" applyFont="1" applyAlignment="1">
      <alignment horizontal="right" vertical="center"/>
    </xf>
    <xf numFmtId="0" fontId="28" fillId="0" borderId="7" xfId="0" applyFont="1" applyBorder="1" applyAlignment="1">
      <alignment vertical="center"/>
    </xf>
    <xf numFmtId="0" fontId="28" fillId="0" borderId="7" xfId="0" applyFont="1" applyBorder="1" applyAlignment="1">
      <alignment horizontal="center" vertical="center"/>
    </xf>
    <xf numFmtId="170" fontId="28" fillId="0" borderId="7" xfId="53" applyNumberFormat="1" applyFont="1" applyBorder="1" applyAlignment="1">
      <alignment horizontal="right" vertical="center"/>
    </xf>
    <xf numFmtId="165" fontId="28" fillId="0" borderId="7" xfId="0" applyNumberFormat="1" applyFont="1" applyBorder="1" applyAlignment="1">
      <alignment vertical="center"/>
    </xf>
    <xf numFmtId="165" fontId="28" fillId="0" borderId="11" xfId="0" applyNumberFormat="1" applyFont="1" applyBorder="1" applyAlignment="1">
      <alignment horizontal="right" vertical="center"/>
    </xf>
    <xf numFmtId="0" fontId="62" fillId="0" borderId="0" xfId="5" applyFont="1" applyFill="1" applyBorder="1" applyAlignment="1">
      <alignment vertical="center" wrapText="1"/>
    </xf>
    <xf numFmtId="0" fontId="63" fillId="0" borderId="0" xfId="0" applyFont="1"/>
    <xf numFmtId="0" fontId="35" fillId="0" borderId="13" xfId="0" applyFont="1" applyBorder="1" applyAlignment="1">
      <alignment horizontal="center"/>
    </xf>
    <xf numFmtId="171" fontId="35" fillId="0" borderId="13" xfId="0" applyNumberFormat="1" applyFont="1" applyBorder="1"/>
    <xf numFmtId="0" fontId="35" fillId="0" borderId="14" xfId="0" applyFont="1" applyBorder="1" applyAlignment="1">
      <alignment horizontal="center"/>
    </xf>
    <xf numFmtId="171" fontId="35" fillId="0" borderId="14" xfId="0" applyNumberFormat="1" applyFont="1" applyBorder="1" applyAlignment="1">
      <alignment horizontal="right" vertical="center"/>
    </xf>
    <xf numFmtId="175" fontId="35" fillId="0" borderId="0" xfId="0" applyNumberFormat="1" applyFont="1"/>
    <xf numFmtId="165" fontId="35" fillId="0" borderId="0" xfId="0" applyNumberFormat="1" applyFont="1" applyAlignment="1">
      <alignment vertical="center"/>
    </xf>
    <xf numFmtId="0" fontId="35" fillId="0" borderId="14" xfId="0" applyFont="1" applyBorder="1"/>
    <xf numFmtId="171" fontId="35" fillId="0" borderId="14" xfId="0" applyNumberFormat="1" applyFont="1" applyBorder="1"/>
    <xf numFmtId="171" fontId="35" fillId="0" borderId="14" xfId="0" applyNumberFormat="1" applyFont="1" applyBorder="1" applyAlignment="1">
      <alignment horizontal="right"/>
    </xf>
    <xf numFmtId="0" fontId="35" fillId="0" borderId="13" xfId="0" applyFont="1" applyBorder="1"/>
    <xf numFmtId="171" fontId="35" fillId="0" borderId="0" xfId="0" applyNumberFormat="1" applyFont="1"/>
    <xf numFmtId="0" fontId="28" fillId="0" borderId="0" xfId="7" quotePrefix="1" applyFont="1" applyBorder="1" applyAlignment="1">
      <alignment horizontal="right" vertical="center"/>
    </xf>
    <xf numFmtId="0" fontId="35" fillId="19" borderId="26" xfId="0" applyFont="1" applyFill="1" applyBorder="1" applyAlignment="1">
      <alignment horizontal="left"/>
    </xf>
    <xf numFmtId="166" fontId="35" fillId="0" borderId="27" xfId="0" applyNumberFormat="1" applyFont="1" applyBorder="1" applyAlignment="1">
      <alignment horizontal="right"/>
    </xf>
    <xf numFmtId="3" fontId="35" fillId="21" borderId="0" xfId="0" applyNumberFormat="1" applyFont="1" applyFill="1" applyAlignment="1">
      <alignment horizontal="right" vertical="center"/>
    </xf>
    <xf numFmtId="172" fontId="35" fillId="0" borderId="14" xfId="0" applyNumberFormat="1" applyFont="1" applyBorder="1"/>
    <xf numFmtId="3" fontId="28" fillId="0" borderId="11" xfId="7" quotePrefix="1" applyNumberFormat="1" applyFont="1" applyBorder="1" applyAlignment="1">
      <alignment horizontal="left" vertical="center" indent="2"/>
    </xf>
    <xf numFmtId="170" fontId="35" fillId="0" borderId="25" xfId="53" applyNumberFormat="1" applyFont="1" applyBorder="1"/>
    <xf numFmtId="170" fontId="8" fillId="0" borderId="0" xfId="53" applyNumberFormat="1" applyFont="1"/>
    <xf numFmtId="170" fontId="35" fillId="0" borderId="0" xfId="53" applyNumberFormat="1" applyFont="1"/>
    <xf numFmtId="170" fontId="35" fillId="0" borderId="26" xfId="53" applyNumberFormat="1" applyFont="1" applyBorder="1"/>
    <xf numFmtId="170" fontId="35" fillId="0" borderId="13" xfId="53" applyNumberFormat="1" applyFont="1" applyBorder="1"/>
    <xf numFmtId="170" fontId="46" fillId="0" borderId="0" xfId="53" applyNumberFormat="1" applyFont="1"/>
    <xf numFmtId="170" fontId="35" fillId="0" borderId="26" xfId="53" applyNumberFormat="1" applyFont="1" applyBorder="1" applyAlignment="1">
      <alignment horizontal="right"/>
    </xf>
    <xf numFmtId="170" fontId="35" fillId="19" borderId="26" xfId="53" applyNumberFormat="1" applyFont="1" applyFill="1" applyBorder="1" applyAlignment="1">
      <alignment horizontal="right"/>
    </xf>
    <xf numFmtId="170" fontId="29" fillId="0" borderId="6" xfId="53" applyNumberFormat="1" applyFont="1" applyBorder="1" applyAlignment="1">
      <alignment horizontal="right" vertical="center"/>
    </xf>
    <xf numFmtId="167" fontId="35" fillId="0" borderId="0" xfId="9" applyNumberFormat="1" applyFont="1" applyAlignment="1">
      <alignment vertical="center"/>
    </xf>
    <xf numFmtId="167" fontId="35" fillId="0" borderId="14" xfId="9" applyNumberFormat="1" applyFont="1" applyBorder="1" applyAlignment="1">
      <alignment vertical="center"/>
    </xf>
    <xf numFmtId="0" fontId="35" fillId="0" borderId="16" xfId="0" applyFont="1" applyBorder="1" applyAlignment="1">
      <alignment vertical="center"/>
    </xf>
    <xf numFmtId="0" fontId="68" fillId="0" borderId="0" xfId="0" applyFont="1" applyAlignment="1">
      <alignment vertical="center"/>
    </xf>
    <xf numFmtId="0" fontId="35" fillId="0" borderId="0" xfId="9" applyNumberFormat="1" applyFont="1" applyBorder="1" applyAlignment="1">
      <alignment horizontal="right" vertical="center"/>
    </xf>
    <xf numFmtId="0" fontId="34" fillId="0" borderId="0" xfId="0" applyFont="1" applyAlignment="1">
      <alignment vertical="center" indent="3"/>
    </xf>
    <xf numFmtId="0" fontId="50" fillId="0" borderId="0" xfId="0" applyFont="1" applyAlignment="1">
      <alignment horizontal="left" vertical="center"/>
    </xf>
    <xf numFmtId="0" fontId="51" fillId="0" borderId="0" xfId="0" applyFont="1" applyAlignment="1">
      <alignment horizontal="right" vertical="center"/>
    </xf>
    <xf numFmtId="2" fontId="35" fillId="0" borderId="0" xfId="0" applyNumberFormat="1" applyFont="1" applyAlignment="1">
      <alignment horizontal="right" vertical="center"/>
    </xf>
    <xf numFmtId="166" fontId="86" fillId="0" borderId="13" xfId="0" applyNumberFormat="1" applyFont="1" applyBorder="1" applyAlignment="1">
      <alignment vertical="center" wrapText="1"/>
    </xf>
    <xf numFmtId="10" fontId="35" fillId="0" borderId="0" xfId="53" applyNumberFormat="1" applyFont="1" applyBorder="1" applyAlignment="1">
      <alignment horizontal="right" vertical="center"/>
    </xf>
    <xf numFmtId="9" fontId="0" fillId="0" borderId="0" xfId="0" applyNumberFormat="1"/>
    <xf numFmtId="16" fontId="35" fillId="0" borderId="0" xfId="0" applyNumberFormat="1" applyFont="1" applyAlignment="1">
      <alignment vertical="center"/>
    </xf>
    <xf numFmtId="167" fontId="35" fillId="0" borderId="0" xfId="0" applyNumberFormat="1" applyFont="1" applyAlignment="1">
      <alignment vertical="center" wrapText="1"/>
    </xf>
    <xf numFmtId="9" fontId="0" fillId="0" borderId="0" xfId="9" applyFont="1"/>
    <xf numFmtId="9" fontId="35" fillId="0" borderId="0" xfId="9" applyFont="1" applyAlignment="1">
      <alignment horizontal="right" vertical="center"/>
    </xf>
    <xf numFmtId="43" fontId="0" fillId="0" borderId="0" xfId="53" applyFont="1"/>
    <xf numFmtId="167" fontId="35" fillId="0" borderId="14" xfId="0" applyNumberFormat="1" applyFont="1" applyBorder="1"/>
    <xf numFmtId="0" fontId="8" fillId="0" borderId="18" xfId="0" applyFont="1" applyBorder="1" applyAlignment="1">
      <alignment horizontal="right" vertical="center"/>
    </xf>
    <xf numFmtId="167" fontId="35" fillId="0" borderId="18" xfId="0" applyNumberFormat="1" applyFont="1" applyBorder="1" applyAlignment="1">
      <alignment horizontal="right" vertical="center"/>
    </xf>
    <xf numFmtId="167" fontId="35" fillId="0" borderId="13" xfId="0" applyNumberFormat="1" applyFont="1" applyBorder="1" applyAlignment="1">
      <alignment vertical="center"/>
    </xf>
    <xf numFmtId="16" fontId="35" fillId="0" borderId="13" xfId="0" applyNumberFormat="1" applyFont="1" applyBorder="1" applyAlignment="1">
      <alignment horizontal="right" vertical="center"/>
    </xf>
    <xf numFmtId="2" fontId="8" fillId="0" borderId="18" xfId="0" applyNumberFormat="1" applyFont="1" applyBorder="1" applyAlignment="1">
      <alignment horizontal="right" vertical="center"/>
    </xf>
    <xf numFmtId="0" fontId="46" fillId="0" borderId="17" xfId="0" applyFont="1" applyBorder="1" applyAlignment="1">
      <alignment horizontal="left" vertical="center" indent="2"/>
    </xf>
    <xf numFmtId="2" fontId="46" fillId="0" borderId="17" xfId="0" applyNumberFormat="1" applyFont="1" applyBorder="1" applyAlignment="1">
      <alignment horizontal="right" vertical="center"/>
    </xf>
    <xf numFmtId="2" fontId="45" fillId="0" borderId="17" xfId="0" applyNumberFormat="1" applyFont="1" applyBorder="1" applyAlignment="1">
      <alignment horizontal="right" vertical="center"/>
    </xf>
    <xf numFmtId="170" fontId="35" fillId="0" borderId="26" xfId="53" applyNumberFormat="1" applyFont="1" applyBorder="1" applyAlignment="1">
      <alignment vertical="center"/>
    </xf>
    <xf numFmtId="0" fontId="35" fillId="0" borderId="26" xfId="0" applyFont="1" applyBorder="1" applyAlignment="1">
      <alignment vertical="center"/>
    </xf>
    <xf numFmtId="0" fontId="28" fillId="0" borderId="13" xfId="0" applyFont="1" applyBorder="1"/>
    <xf numFmtId="3" fontId="28" fillId="0" borderId="0" xfId="7" applyNumberFormat="1" applyFont="1" applyBorder="1" applyAlignment="1">
      <alignment horizontal="left" vertical="center" indent="2"/>
    </xf>
    <xf numFmtId="0" fontId="28" fillId="0" borderId="11" xfId="7" applyFont="1" applyBorder="1">
      <alignment vertical="center"/>
    </xf>
    <xf numFmtId="0" fontId="28" fillId="0" borderId="0" xfId="7" applyFont="1" applyBorder="1">
      <alignment vertical="center"/>
    </xf>
    <xf numFmtId="164" fontId="0" fillId="0" borderId="0" xfId="0" applyNumberFormat="1"/>
    <xf numFmtId="0" fontId="35" fillId="0" borderId="0" xfId="0" applyFont="1" applyAlignment="1">
      <alignment horizontal="right" vertical="center" indent="2"/>
    </xf>
    <xf numFmtId="0" fontId="35" fillId="0" borderId="14" xfId="0" applyFont="1" applyBorder="1" applyAlignment="1">
      <alignment horizontal="right" vertical="center" indent="2"/>
    </xf>
    <xf numFmtId="0" fontId="46" fillId="0" borderId="17" xfId="0" applyFont="1" applyBorder="1" applyAlignment="1">
      <alignment horizontal="right" vertical="center" indent="1"/>
    </xf>
    <xf numFmtId="0" fontId="35" fillId="0" borderId="13" xfId="0" applyFont="1" applyBorder="1" applyAlignment="1">
      <alignment horizontal="right" vertical="center" indent="2"/>
    </xf>
    <xf numFmtId="2" fontId="35" fillId="0" borderId="13" xfId="0" applyNumberFormat="1" applyFont="1" applyBorder="1" applyAlignment="1">
      <alignment horizontal="right" vertical="center"/>
    </xf>
    <xf numFmtId="0" fontId="62" fillId="13" borderId="0" xfId="0" applyFont="1" applyFill="1" applyAlignment="1">
      <alignment horizontal="right" vertical="center" wrapText="1" indent="1"/>
    </xf>
    <xf numFmtId="0" fontId="34" fillId="0" borderId="0" xfId="0" applyFont="1" applyAlignment="1">
      <alignment horizontal="right" vertical="center" indent="3"/>
    </xf>
    <xf numFmtId="167" fontId="35" fillId="0" borderId="13" xfId="0" applyNumberFormat="1" applyFont="1" applyBorder="1" applyAlignment="1">
      <alignment vertical="center" wrapText="1"/>
    </xf>
    <xf numFmtId="0" fontId="34" fillId="0" borderId="18" xfId="0" applyFont="1" applyBorder="1" applyAlignment="1">
      <alignment vertical="center" indent="3"/>
    </xf>
    <xf numFmtId="167" fontId="35" fillId="0" borderId="13" xfId="0" applyNumberFormat="1" applyFont="1" applyBorder="1" applyAlignment="1">
      <alignment vertical="center" indent="2"/>
    </xf>
    <xf numFmtId="167" fontId="35" fillId="0" borderId="0" xfId="0" applyNumberFormat="1" applyFont="1" applyAlignment="1">
      <alignment vertical="center"/>
    </xf>
    <xf numFmtId="167" fontId="72" fillId="0" borderId="0" xfId="0" applyNumberFormat="1" applyFont="1" applyAlignment="1">
      <alignment horizontal="right" indent="2"/>
    </xf>
    <xf numFmtId="167" fontId="72" fillId="0" borderId="14" xfId="0" applyNumberFormat="1" applyFont="1" applyBorder="1" applyAlignment="1">
      <alignment horizontal="right" indent="2"/>
    </xf>
    <xf numFmtId="167" fontId="35" fillId="0" borderId="0" xfId="0" applyNumberFormat="1" applyFont="1" applyAlignment="1">
      <alignment horizontal="right" vertical="center" wrapText="1"/>
    </xf>
    <xf numFmtId="167" fontId="35" fillId="0" borderId="14" xfId="0" applyNumberFormat="1" applyFont="1" applyBorder="1" applyAlignment="1">
      <alignment horizontal="right" vertical="center" wrapText="1"/>
    </xf>
    <xf numFmtId="167" fontId="35" fillId="0" borderId="13" xfId="0" applyNumberFormat="1" applyFont="1" applyBorder="1" applyAlignment="1">
      <alignment horizontal="right" vertical="center" indent="2"/>
    </xf>
    <xf numFmtId="0" fontId="35" fillId="19" borderId="0" xfId="0" applyFont="1" applyFill="1" applyAlignment="1">
      <alignment horizontal="right"/>
    </xf>
    <xf numFmtId="0" fontId="35" fillId="19" borderId="0" xfId="63" applyFont="1" applyFill="1" applyAlignment="1">
      <alignment horizontal="left"/>
    </xf>
    <xf numFmtId="0" fontId="28" fillId="0" borderId="23" xfId="63" applyFont="1" applyBorder="1" applyAlignment="1">
      <alignment horizontal="center" vertical="center"/>
    </xf>
    <xf numFmtId="170" fontId="35" fillId="19" borderId="26" xfId="64" applyNumberFormat="1" applyFont="1" applyFill="1" applyBorder="1" applyAlignment="1">
      <alignment horizontal="right"/>
    </xf>
    <xf numFmtId="0" fontId="47" fillId="13" borderId="0" xfId="0" applyFont="1" applyFill="1" applyAlignment="1">
      <alignment horizontal="right" vertical="center"/>
    </xf>
    <xf numFmtId="4" fontId="35" fillId="0" borderId="0" xfId="0" applyNumberFormat="1" applyFont="1" applyAlignment="1">
      <alignment horizontal="right" vertical="center" indent="1"/>
    </xf>
    <xf numFmtId="0" fontId="51" fillId="0" borderId="0" xfId="0" applyFont="1" applyAlignment="1">
      <alignment horizontal="right" indent="1"/>
    </xf>
    <xf numFmtId="0" fontId="35" fillId="0" borderId="18" xfId="0" applyFont="1" applyBorder="1" applyAlignment="1">
      <alignment horizontal="right" vertical="center" indent="2"/>
    </xf>
    <xf numFmtId="0" fontId="46" fillId="0" borderId="0" xfId="0" applyFont="1" applyAlignment="1">
      <alignment horizontal="right" vertical="center" indent="1"/>
    </xf>
    <xf numFmtId="0" fontId="46" fillId="0" borderId="14" xfId="0" applyFont="1" applyBorder="1" applyAlignment="1">
      <alignment horizontal="right" vertical="center" indent="1"/>
    </xf>
    <xf numFmtId="167" fontId="35" fillId="0" borderId="0" xfId="9" applyNumberFormat="1" applyFont="1" applyAlignment="1">
      <alignment horizontal="right" vertical="center"/>
    </xf>
    <xf numFmtId="167" fontId="35" fillId="0" borderId="14" xfId="9" applyNumberFormat="1" applyFont="1" applyBorder="1" applyAlignment="1">
      <alignment horizontal="right" vertical="center"/>
    </xf>
    <xf numFmtId="0" fontId="71" fillId="14" borderId="0" xfId="0" applyFont="1" applyFill="1" applyAlignment="1">
      <alignment horizontal="right" vertical="center"/>
    </xf>
    <xf numFmtId="0" fontId="57" fillId="15" borderId="0" xfId="0" applyFont="1" applyFill="1" applyAlignment="1">
      <alignment horizontal="right" vertical="center"/>
    </xf>
    <xf numFmtId="0" fontId="12" fillId="0" borderId="0" xfId="2" applyFont="1" applyFill="1" applyBorder="1" applyAlignment="1">
      <alignment horizontal="right" vertical="top" wrapText="1"/>
    </xf>
    <xf numFmtId="0" fontId="50" fillId="0" borderId="0" xfId="2" applyFont="1" applyFill="1" applyBorder="1" applyAlignment="1">
      <alignment horizontal="right" vertical="top" wrapText="1"/>
    </xf>
    <xf numFmtId="0" fontId="0" fillId="0" borderId="0" xfId="0" applyAlignment="1">
      <alignment horizontal="right"/>
    </xf>
    <xf numFmtId="164" fontId="0" fillId="0" borderId="0" xfId="9" applyNumberFormat="1" applyFont="1"/>
    <xf numFmtId="2" fontId="35" fillId="0" borderId="0" xfId="0" applyNumberFormat="1" applyFont="1" applyAlignment="1">
      <alignment horizontal="right" vertical="center" indent="2"/>
    </xf>
    <xf numFmtId="2" fontId="35" fillId="0" borderId="18" xfId="0" applyNumberFormat="1" applyFont="1" applyBorder="1" applyAlignment="1">
      <alignment horizontal="right" vertical="center" indent="2"/>
    </xf>
    <xf numFmtId="2" fontId="46" fillId="0" borderId="17" xfId="0" applyNumberFormat="1" applyFont="1" applyBorder="1" applyAlignment="1">
      <alignment horizontal="right" vertical="center" indent="2"/>
    </xf>
    <xf numFmtId="0" fontId="45" fillId="0" borderId="17" xfId="0" applyFont="1" applyBorder="1" applyAlignment="1">
      <alignment horizontal="right" vertical="center"/>
    </xf>
    <xf numFmtId="2" fontId="45" fillId="0" borderId="0" xfId="0" applyNumberFormat="1" applyFont="1" applyAlignment="1">
      <alignment horizontal="right" vertical="center"/>
    </xf>
    <xf numFmtId="0" fontId="45" fillId="0" borderId="0" xfId="0" applyFont="1" applyAlignment="1">
      <alignment horizontal="right" vertical="center"/>
    </xf>
    <xf numFmtId="166" fontId="35" fillId="0" borderId="28" xfId="0" applyNumberFormat="1" applyFont="1" applyBorder="1"/>
    <xf numFmtId="43" fontId="0" fillId="0" borderId="0" xfId="0" applyNumberFormat="1"/>
    <xf numFmtId="0" fontId="0" fillId="0" borderId="0" xfId="0" applyAlignment="1">
      <alignment horizontal="left"/>
    </xf>
    <xf numFmtId="9" fontId="46" fillId="0" borderId="0" xfId="9" applyFont="1" applyAlignment="1">
      <alignment horizontal="right" vertical="center" indent="1"/>
    </xf>
    <xf numFmtId="9" fontId="46" fillId="0" borderId="0" xfId="9" applyFont="1" applyAlignment="1">
      <alignment horizontal="left" vertical="center" indent="1"/>
    </xf>
    <xf numFmtId="0" fontId="68" fillId="0" borderId="0" xfId="0" applyFont="1" applyAlignment="1">
      <alignment horizontal="left" vertical="center"/>
    </xf>
    <xf numFmtId="0" fontId="12" fillId="0" borderId="0" xfId="0" applyFont="1" applyAlignment="1">
      <alignment horizontal="left" vertical="center" wrapText="1"/>
    </xf>
    <xf numFmtId="0" fontId="50" fillId="0" borderId="0" xfId="0" applyFont="1" applyAlignment="1">
      <alignment horizontal="left" vertical="center" wrapText="1"/>
    </xf>
    <xf numFmtId="0" fontId="12" fillId="0" borderId="0" xfId="2" applyFont="1" applyFill="1" applyBorder="1" applyAlignment="1">
      <alignment horizontal="left" vertical="center" wrapText="1"/>
    </xf>
    <xf numFmtId="0" fontId="12" fillId="22" borderId="0" xfId="2" applyFont="1" applyFill="1" applyBorder="1" applyAlignment="1">
      <alignment horizontal="left" vertical="center" wrapText="1"/>
    </xf>
    <xf numFmtId="0" fontId="62" fillId="13" borderId="0" xfId="0" applyFont="1" applyFill="1" applyAlignment="1">
      <alignment horizontal="center" vertical="center" wrapText="1"/>
    </xf>
    <xf numFmtId="0" fontId="62" fillId="13" borderId="15" xfId="0" applyFont="1" applyFill="1" applyBorder="1" applyAlignment="1">
      <alignment horizontal="center" vertical="center" wrapText="1"/>
    </xf>
    <xf numFmtId="0" fontId="62" fillId="13" borderId="0" xfId="0" applyFont="1" applyFill="1" applyAlignment="1">
      <alignment horizontal="left" vertical="center" wrapText="1" indent="1"/>
    </xf>
    <xf numFmtId="0" fontId="50" fillId="0" borderId="0" xfId="0" applyFont="1" applyAlignment="1">
      <alignment horizontal="left" vertical="center"/>
    </xf>
    <xf numFmtId="0" fontId="62" fillId="14" borderId="0" xfId="5" applyFont="1" applyFill="1" applyBorder="1" applyAlignment="1">
      <alignment horizontal="center" vertical="center" wrapText="1"/>
    </xf>
    <xf numFmtId="0" fontId="35" fillId="0" borderId="30" xfId="0" applyFont="1" applyBorder="1" applyAlignment="1">
      <alignment horizontal="left" vertical="center" wrapText="1"/>
    </xf>
    <xf numFmtId="0" fontId="35" fillId="0" borderId="29" xfId="0" applyFont="1" applyBorder="1" applyAlignment="1">
      <alignment horizontal="left" vertical="center" wrapText="1"/>
    </xf>
    <xf numFmtId="0" fontId="74" fillId="0" borderId="30" xfId="0" applyFont="1" applyBorder="1" applyAlignment="1">
      <alignment horizontal="left" vertical="center" wrapText="1"/>
    </xf>
    <xf numFmtId="0" fontId="74" fillId="0" borderId="29" xfId="0" applyFont="1" applyBorder="1" applyAlignment="1">
      <alignment horizontal="left" vertical="center" wrapText="1"/>
    </xf>
    <xf numFmtId="0" fontId="35" fillId="0" borderId="32" xfId="0" applyFont="1" applyBorder="1" applyAlignment="1">
      <alignment horizontal="left" vertical="center" wrapText="1"/>
    </xf>
    <xf numFmtId="0" fontId="35" fillId="0" borderId="31" xfId="0" applyFont="1" applyBorder="1" applyAlignment="1">
      <alignment horizontal="left" vertical="center"/>
    </xf>
    <xf numFmtId="0" fontId="35" fillId="0" borderId="30" xfId="0" applyFont="1" applyBorder="1" applyAlignment="1">
      <alignment horizontal="left" vertical="center"/>
    </xf>
    <xf numFmtId="0" fontId="8" fillId="0" borderId="30" xfId="0" applyFont="1" applyBorder="1" applyAlignment="1">
      <alignment horizontal="left" vertical="center" wrapText="1"/>
    </xf>
    <xf numFmtId="0" fontId="8" fillId="0" borderId="32" xfId="0" applyFont="1" applyBorder="1" applyAlignment="1">
      <alignment horizontal="left" vertical="center" wrapText="1"/>
    </xf>
    <xf numFmtId="0" fontId="35" fillId="0" borderId="29" xfId="0" applyFont="1" applyBorder="1" applyAlignment="1">
      <alignment horizontal="left" vertical="center"/>
    </xf>
    <xf numFmtId="0" fontId="35" fillId="0" borderId="30" xfId="0" applyFont="1" applyBorder="1" applyAlignment="1">
      <alignment vertical="center" wrapText="1"/>
    </xf>
    <xf numFmtId="0" fontId="35" fillId="0" borderId="29" xfId="0" applyFont="1" applyBorder="1" applyAlignment="1">
      <alignment vertical="center" wrapText="1"/>
    </xf>
    <xf numFmtId="0" fontId="35" fillId="0" borderId="32" xfId="0" applyFont="1" applyBorder="1" applyAlignment="1">
      <alignment vertical="center" wrapText="1"/>
    </xf>
    <xf numFmtId="0" fontId="35" fillId="0" borderId="31" xfId="0" applyFont="1" applyBorder="1" applyAlignment="1">
      <alignment horizontal="left" vertical="center" wrapText="1"/>
    </xf>
    <xf numFmtId="0" fontId="35" fillId="0" borderId="35" xfId="0" applyFont="1" applyBorder="1" applyAlignment="1">
      <alignment horizontal="left" vertical="center" wrapText="1"/>
    </xf>
  </cellXfs>
  <cellStyles count="65">
    <cellStyle name="20% - Accent6 2" xfId="25" xr:uid="{00000000-0005-0000-0000-000032000000}"/>
    <cellStyle name="60% - Accent6 2" xfId="27" xr:uid="{00000000-0005-0000-0000-000033000000}"/>
    <cellStyle name="60% - Accent6 lines" xfId="7" xr:uid="{570F3173-4245-41B3-9C2A-35FCB90FCCB0}"/>
    <cellStyle name="Accent1" xfId="3" builtinId="29"/>
    <cellStyle name="Accent1 2" xfId="28" xr:uid="{00000000-0005-0000-0000-000034000000}"/>
    <cellStyle name="Accent2" xfId="4" builtinId="33"/>
    <cellStyle name="Accent2 2" xfId="44" xr:uid="{00000000-0005-0000-0000-000035000000}"/>
    <cellStyle name="Accent6" xfId="5" builtinId="49"/>
    <cellStyle name="Accent6 2" xfId="37" xr:uid="{00000000-0005-0000-0000-000006000000}"/>
    <cellStyle name="Accent6 3" xfId="21" xr:uid="{00000000-0005-0000-0000-000036000000}"/>
    <cellStyle name="Comma" xfId="53" builtinId="3"/>
    <cellStyle name="Comma 136" xfId="64" xr:uid="{C085AC26-C208-4CBB-B728-842E293A338B}"/>
    <cellStyle name="Comma 14" xfId="16" xr:uid="{00000000-0005-0000-0000-000008000000}"/>
    <cellStyle name="Comma 14 2" xfId="42" xr:uid="{00000000-0005-0000-0000-000009000000}"/>
    <cellStyle name="Comma 2" xfId="20" xr:uid="{00000000-0005-0000-0000-00000A000000}"/>
    <cellStyle name="Comma 3" xfId="40" xr:uid="{00000000-0005-0000-0000-00000B000000}"/>
    <cellStyle name="Comma 4" xfId="50" xr:uid="{00000000-0005-0000-0000-00000C000000}"/>
    <cellStyle name="Comma 5" xfId="51" xr:uid="{00000000-0005-0000-0000-00000D000000}"/>
    <cellStyle name="Comma 6" xfId="12" xr:uid="{00000000-0005-0000-0000-000038000000}"/>
    <cellStyle name="Explanatory Text" xfId="2" builtinId="53"/>
    <cellStyle name="Explanatory Text 2" xfId="36" xr:uid="{00000000-0005-0000-0000-00000F000000}"/>
    <cellStyle name="Explanatory Text 3" xfId="24" xr:uid="{00000000-0005-0000-0000-00003F000000}"/>
    <cellStyle name="Heading 1" xfId="1" builtinId="16"/>
    <cellStyle name="Heading 1 2" xfId="35" xr:uid="{00000000-0005-0000-0000-000011000000}"/>
    <cellStyle name="Heading 1 3" xfId="26" xr:uid="{00000000-0005-0000-0000-000041000000}"/>
    <cellStyle name="Heading 2 2" xfId="22" xr:uid="{00000000-0005-0000-0000-000043000000}"/>
    <cellStyle name="Heading 3 2" xfId="38" xr:uid="{00000000-0005-0000-0000-000014000000}"/>
    <cellStyle name="Heading 3 3" xfId="23" xr:uid="{00000000-0005-0000-0000-000044000000}"/>
    <cellStyle name="Hyperlink" xfId="54" builtinId="8"/>
    <cellStyle name="NAB FTB1 - Financial Table Body" xfId="59" xr:uid="{256CCE9F-C82E-40CA-9771-31DAE517714E}"/>
    <cellStyle name="NAB FTBB1 - Financial Table Body,AB" xfId="61" xr:uid="{537A4A21-5C48-4EFA-B03C-F2D2B9B80569}"/>
    <cellStyle name="NAB FTBB1a - Financial Table Body,AB,U" xfId="56" xr:uid="{DEC41F0F-FE6C-4AD7-A0DA-2B2CCEC0E524}"/>
    <cellStyle name="NAB FTH2a - Financial Header 2" xfId="58" xr:uid="{575D947B-A010-4761-8450-BC247980309A}"/>
    <cellStyle name="NAB FTNB1g - Numbers B,S,1dp" xfId="60" xr:uid="{CE01A1A0-C448-4B45-9BEA-74F83BBB00B8}"/>
    <cellStyle name="NAB H2 - Header 2" xfId="57" xr:uid="{BC0450F1-E844-45E2-AE42-6004F4E1FFDC}"/>
    <cellStyle name="Neutral 2" xfId="46" xr:uid="{00000000-0005-0000-0000-000016000000}"/>
    <cellStyle name="Normal" xfId="0" builtinId="0"/>
    <cellStyle name="Normal 10" xfId="11" xr:uid="{00000000-0005-0000-0000-000018000000}"/>
    <cellStyle name="Normal 10 2" xfId="31" xr:uid="{00000000-0005-0000-0000-000019000000}"/>
    <cellStyle name="Normal 10 2 2" xfId="14" xr:uid="{00000000-0005-0000-0000-00001A000000}"/>
    <cellStyle name="Normal 10 2 2 2" xfId="41" xr:uid="{00000000-0005-0000-0000-00001B000000}"/>
    <cellStyle name="Normal 10 3" xfId="52" xr:uid="{00000000-0005-0000-0000-00001C000000}"/>
    <cellStyle name="Normal 118" xfId="17" xr:uid="{00000000-0005-0000-0000-00001D000000}"/>
    <cellStyle name="Normal 118 2" xfId="43" xr:uid="{00000000-0005-0000-0000-00001E000000}"/>
    <cellStyle name="Normal 15" xfId="18" xr:uid="{00000000-0005-0000-0000-00001F000000}"/>
    <cellStyle name="Normal 2" xfId="33" xr:uid="{00000000-0005-0000-0000-000020000000}"/>
    <cellStyle name="Normal 2 3" xfId="47" xr:uid="{00000000-0005-0000-0000-000021000000}"/>
    <cellStyle name="Normal 2 3 3 2" xfId="55" xr:uid="{457B5589-CB14-4491-8484-9A3FF8CCF8AC}"/>
    <cellStyle name="Normal 3" xfId="34" xr:uid="{00000000-0005-0000-0000-000022000000}"/>
    <cellStyle name="Normal 4" xfId="45" xr:uid="{00000000-0005-0000-0000-000023000000}"/>
    <cellStyle name="Normal 5" xfId="48" xr:uid="{00000000-0005-0000-0000-000024000000}"/>
    <cellStyle name="Normal 6" xfId="10" xr:uid="{00000000-0005-0000-0000-000048000000}"/>
    <cellStyle name="Normal 69" xfId="62" xr:uid="{00A8F06C-36A2-4C22-B8BE-2FCE0BD9F4E5}"/>
    <cellStyle name="Normal 74 2 2" xfId="63" xr:uid="{B29E8D58-E85E-4A81-9C77-7E003959606B}"/>
    <cellStyle name="Percent" xfId="9" builtinId="5"/>
    <cellStyle name="Percent 14" xfId="19" xr:uid="{00000000-0005-0000-0000-000029000000}"/>
    <cellStyle name="Percent 14 2" xfId="32" xr:uid="{00000000-0005-0000-0000-00002A000000}"/>
    <cellStyle name="Percent 2" xfId="15" xr:uid="{00000000-0005-0000-0000-00002B000000}"/>
    <cellStyle name="Percent 2 2" xfId="8" xr:uid="{CDA11D45-42C7-4209-BBBD-44568272AD26}"/>
    <cellStyle name="Percent 2 4" xfId="30" xr:uid="{00000000-0005-0000-0000-00002D000000}"/>
    <cellStyle name="Percent 3" xfId="49" xr:uid="{00000000-0005-0000-0000-00002E000000}"/>
    <cellStyle name="Percent 4" xfId="13" xr:uid="{00000000-0005-0000-0000-000059000000}"/>
    <cellStyle name="SAPMemberCell" xfId="39" xr:uid="{00000000-0005-0000-0000-00002F000000}"/>
    <cellStyle name="Style 1" xfId="6" xr:uid="{E9D6B68A-B38B-4593-AB46-5285B8971ADB}"/>
    <cellStyle name="Title 2" xfId="29" xr:uid="{00000000-0005-0000-0000-000060000000}"/>
  </cellStyles>
  <dxfs count="3">
    <dxf>
      <fill>
        <patternFill patternType="solid">
          <bgColor theme="9" tint="0.79998168889431442"/>
        </patternFill>
      </fill>
    </dxf>
    <dxf>
      <font>
        <b val="0"/>
        <i val="0"/>
        <strike val="0"/>
        <color theme="0"/>
      </font>
      <fill>
        <patternFill>
          <fgColor theme="9"/>
          <bgColor theme="9"/>
        </patternFill>
      </fill>
    </dxf>
    <dxf>
      <font>
        <strike val="0"/>
      </font>
      <border diagonalUp="0" diagonalDown="0">
        <left/>
        <right/>
        <top style="thin">
          <color theme="9" tint="0.59996337778862885"/>
        </top>
        <bottom style="thin">
          <color theme="9" tint="0.59996337778862885"/>
        </bottom>
        <vertical/>
        <horizontal style="thin">
          <color theme="9" tint="0.59996337778862885"/>
        </horizontal>
      </border>
    </dxf>
  </dxfs>
  <tableStyles count="1" defaultTableStyle="TableStyleMedium2" defaultPivotStyle="PivotStyleLight16">
    <tableStyle name="Table Style 1" pivot="0" count="3" xr9:uid="{00000000-0011-0000-FFFF-FFFF00000000}">
      <tableStyleElement type="wholeTable" dxfId="2"/>
      <tableStyleElement type="headerRow" dxfId="1"/>
      <tableStyleElement type="secondRowStripe" dxfId="0"/>
    </tableStyle>
  </tableStyles>
  <colors>
    <mruColors>
      <color rgb="FF407EC9"/>
      <color rgb="FFDEEDC9"/>
      <color rgb="FFFFFFFF"/>
      <color rgb="FF9C5ED6"/>
      <color rgb="FFDFF1ED"/>
      <color rgb="FF58595B"/>
      <color rgb="FFEAF4DC"/>
      <color rgb="FFE6FFCD"/>
      <color rgb="FF6E9A34"/>
      <color rgb="FF6E9A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356504</xdr:colOff>
      <xdr:row>1</xdr:row>
      <xdr:rowOff>133351</xdr:rowOff>
    </xdr:from>
    <xdr:to>
      <xdr:col>9</xdr:col>
      <xdr:colOff>288424</xdr:colOff>
      <xdr:row>7</xdr:row>
      <xdr:rowOff>38101</xdr:rowOff>
    </xdr:to>
    <xdr:pic>
      <xdr:nvPicPr>
        <xdr:cNvPr id="9" name="Picture 8">
          <a:extLst>
            <a:ext uri="{FF2B5EF4-FFF2-40B4-BE49-F238E27FC236}">
              <a16:creationId xmlns:a16="http://schemas.microsoft.com/office/drawing/2014/main" id="{2F052F8B-9284-C0B5-E7D5-FEB56138AA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04504" y="323851"/>
          <a:ext cx="2370320" cy="104775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Lawton, Ronnie" id="{4341DB89-4B87-489D-8DD6-1AA4669CA686}" userId="S::rlawton@curragh.com.au::920d882a-6640-4b16-9132-aa3a7d03ee3d"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13" dT="2024-02-19T05:48:54.50" personId="{4341DB89-4B87-489D-8DD6-1AA4669CA686}" id="{B5C7C03B-7E4F-42B6-8A63-BE60901ACE13}">
    <text>This intensity will need to be reviewed and adjusted to reflect ROMt</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oronadoglobal.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9"/>
  <sheetViews>
    <sheetView zoomScaleNormal="100" workbookViewId="0"/>
  </sheetViews>
  <sheetFormatPr defaultRowHeight="15"/>
  <sheetData>
    <row r="1" spans="1:10">
      <c r="A1" s="239"/>
      <c r="B1" s="239"/>
      <c r="C1" s="239"/>
      <c r="D1" s="239"/>
      <c r="E1" s="239"/>
      <c r="F1" s="239"/>
      <c r="G1" s="239"/>
      <c r="H1" s="239"/>
      <c r="I1" s="239"/>
      <c r="J1" s="239"/>
    </row>
    <row r="2" spans="1:10">
      <c r="A2" s="239"/>
      <c r="B2" s="239"/>
      <c r="C2" s="239"/>
      <c r="D2" s="239"/>
      <c r="E2" s="239"/>
      <c r="F2" s="239"/>
      <c r="G2" s="239"/>
      <c r="H2" s="239"/>
      <c r="I2" s="239"/>
      <c r="J2" s="239"/>
    </row>
    <row r="3" spans="1:10">
      <c r="A3" s="239"/>
      <c r="B3" s="239"/>
      <c r="C3" s="239"/>
      <c r="D3" s="239"/>
      <c r="E3" s="239"/>
      <c r="F3" s="239"/>
      <c r="G3" s="239"/>
      <c r="H3" s="239"/>
      <c r="I3" s="239"/>
      <c r="J3" s="239"/>
    </row>
    <row r="4" spans="1:10">
      <c r="A4" s="239"/>
      <c r="B4" s="239"/>
      <c r="C4" s="239"/>
      <c r="D4" s="239"/>
      <c r="E4" s="239"/>
      <c r="F4" s="239"/>
      <c r="G4" s="239"/>
      <c r="H4" s="239"/>
      <c r="I4" s="239"/>
      <c r="J4" s="239"/>
    </row>
    <row r="5" spans="1:10">
      <c r="A5" s="239"/>
      <c r="B5" s="239"/>
      <c r="C5" s="239"/>
      <c r="D5" s="239"/>
      <c r="E5" s="239"/>
      <c r="F5" s="239"/>
      <c r="G5" s="239"/>
      <c r="H5" s="239"/>
      <c r="I5" s="239"/>
      <c r="J5" s="239"/>
    </row>
    <row r="6" spans="1:10">
      <c r="A6" s="239"/>
      <c r="B6" s="239"/>
      <c r="C6" s="239"/>
      <c r="D6" s="239"/>
      <c r="E6" s="239"/>
      <c r="F6" s="239"/>
      <c r="G6" s="239"/>
      <c r="H6" s="239"/>
      <c r="I6" s="239"/>
      <c r="J6" s="239"/>
    </row>
    <row r="7" spans="1:10">
      <c r="A7" s="239"/>
      <c r="B7" s="239"/>
      <c r="C7" s="239"/>
      <c r="D7" s="239"/>
      <c r="E7" s="239"/>
      <c r="F7" s="239"/>
      <c r="G7" s="239"/>
      <c r="H7" s="239"/>
      <c r="I7" s="239"/>
      <c r="J7" s="239"/>
    </row>
    <row r="8" spans="1:10">
      <c r="A8" s="239"/>
      <c r="B8" s="239"/>
      <c r="C8" s="239"/>
      <c r="D8" s="239"/>
      <c r="E8" s="239"/>
      <c r="F8" s="239"/>
      <c r="G8" s="239"/>
      <c r="H8" s="239"/>
      <c r="I8" s="239"/>
      <c r="J8" s="239"/>
    </row>
    <row r="9" spans="1:10">
      <c r="A9" s="239"/>
      <c r="B9" s="239"/>
      <c r="C9" s="239"/>
      <c r="D9" s="239"/>
      <c r="E9" s="239"/>
      <c r="F9" s="239"/>
      <c r="G9" s="239"/>
      <c r="H9" s="239"/>
      <c r="I9" s="239"/>
      <c r="J9" s="239"/>
    </row>
    <row r="10" spans="1:10">
      <c r="A10" s="239"/>
      <c r="B10" s="239"/>
      <c r="C10" s="239"/>
      <c r="D10" s="239"/>
      <c r="E10" s="239"/>
      <c r="F10" s="239"/>
      <c r="G10" s="239"/>
      <c r="H10" s="239"/>
      <c r="I10" s="239"/>
      <c r="J10" s="239"/>
    </row>
    <row r="11" spans="1:10">
      <c r="A11" s="239"/>
      <c r="B11" s="313"/>
      <c r="C11" s="239"/>
      <c r="D11" s="239"/>
      <c r="E11" s="239"/>
      <c r="F11" s="239"/>
      <c r="G11" s="239"/>
      <c r="H11" s="239"/>
      <c r="I11" s="239"/>
      <c r="J11" s="239"/>
    </row>
    <row r="12" spans="1:10">
      <c r="A12" s="239"/>
      <c r="B12" s="239"/>
      <c r="C12" s="239"/>
      <c r="D12" s="239"/>
      <c r="E12" s="239"/>
      <c r="F12" s="239"/>
      <c r="G12" s="239"/>
      <c r="H12" s="239"/>
      <c r="I12" s="239"/>
      <c r="J12" s="239"/>
    </row>
    <row r="13" spans="1:10">
      <c r="A13" s="239"/>
      <c r="B13" s="239"/>
      <c r="C13" s="239"/>
      <c r="D13" s="239"/>
      <c r="E13" s="239"/>
      <c r="F13" s="239"/>
      <c r="G13" s="239"/>
      <c r="H13" s="239"/>
      <c r="I13" s="239"/>
      <c r="J13" s="239"/>
    </row>
    <row r="14" spans="1:10">
      <c r="A14" s="239"/>
      <c r="B14" s="239"/>
      <c r="C14" s="239"/>
      <c r="D14" s="239"/>
      <c r="E14" s="239"/>
      <c r="F14" s="239"/>
      <c r="G14" s="239"/>
      <c r="H14" s="239"/>
      <c r="I14" s="239"/>
      <c r="J14" s="239"/>
    </row>
    <row r="15" spans="1:10">
      <c r="A15" s="239"/>
      <c r="B15" s="239"/>
      <c r="C15" s="239"/>
      <c r="D15" s="239"/>
      <c r="E15" s="239"/>
      <c r="F15" s="239"/>
      <c r="G15" s="239"/>
      <c r="H15" s="239"/>
      <c r="I15" s="239"/>
      <c r="J15" s="239"/>
    </row>
    <row r="16" spans="1:10" ht="27.75">
      <c r="A16" s="239"/>
      <c r="B16" s="315" t="s">
        <v>0</v>
      </c>
      <c r="C16" s="239"/>
      <c r="D16" s="239"/>
      <c r="E16" s="239"/>
      <c r="F16" s="239"/>
      <c r="G16" s="239"/>
      <c r="H16" s="239"/>
      <c r="I16" s="239"/>
      <c r="J16" s="239"/>
    </row>
    <row r="17" spans="1:11">
      <c r="A17" s="239"/>
      <c r="B17" s="239"/>
      <c r="C17" s="239"/>
      <c r="D17" s="239"/>
      <c r="E17" s="239"/>
      <c r="F17" s="239"/>
      <c r="G17" s="239"/>
      <c r="H17" s="239"/>
      <c r="I17" s="239"/>
      <c r="J17" s="239"/>
      <c r="K17" s="88"/>
    </row>
    <row r="18" spans="1:11">
      <c r="A18" s="239"/>
      <c r="B18" s="314" t="s">
        <v>1</v>
      </c>
      <c r="C18" s="239"/>
      <c r="D18" s="239"/>
      <c r="E18" s="239"/>
      <c r="F18" s="239"/>
      <c r="G18" s="239"/>
      <c r="H18" s="239"/>
      <c r="I18" s="239"/>
      <c r="J18" s="239"/>
      <c r="K18" s="88"/>
    </row>
    <row r="19" spans="1:11">
      <c r="A19" s="239"/>
      <c r="B19" s="314" t="s">
        <v>2</v>
      </c>
      <c r="C19" s="239"/>
      <c r="D19" s="239"/>
      <c r="E19" s="239"/>
      <c r="F19" s="239"/>
      <c r="G19" s="239"/>
      <c r="H19" s="239"/>
      <c r="I19" s="239"/>
      <c r="J19" s="239"/>
    </row>
    <row r="20" spans="1:11">
      <c r="A20" s="239"/>
      <c r="B20" s="314"/>
      <c r="C20" s="239"/>
      <c r="D20" s="239"/>
      <c r="E20" s="239"/>
      <c r="F20" s="239"/>
      <c r="G20" s="239"/>
      <c r="H20" s="239"/>
      <c r="I20" s="239"/>
      <c r="J20" s="239"/>
    </row>
    <row r="21" spans="1:11">
      <c r="A21" s="239"/>
      <c r="B21" s="314"/>
      <c r="C21" s="239"/>
      <c r="D21" s="239"/>
      <c r="E21" s="239"/>
      <c r="F21" s="239"/>
      <c r="G21" s="239"/>
      <c r="H21" s="239"/>
      <c r="I21" s="239"/>
      <c r="J21" s="239"/>
    </row>
    <row r="22" spans="1:11">
      <c r="A22" s="239"/>
      <c r="B22" s="314"/>
      <c r="C22" s="239"/>
      <c r="D22" s="239"/>
      <c r="E22" s="239"/>
      <c r="F22" s="239"/>
      <c r="G22" s="239"/>
      <c r="H22" s="239"/>
      <c r="I22" s="239"/>
      <c r="J22" s="239"/>
    </row>
    <row r="23" spans="1:11">
      <c r="A23" s="239"/>
      <c r="B23" s="239"/>
      <c r="C23" s="239"/>
      <c r="D23" s="239"/>
      <c r="E23" s="239"/>
      <c r="F23" s="239"/>
      <c r="G23" s="239"/>
      <c r="H23" s="239"/>
      <c r="I23" s="239"/>
      <c r="J23" s="239"/>
    </row>
    <row r="24" spans="1:11">
      <c r="A24" s="239"/>
      <c r="B24" s="239"/>
      <c r="C24" s="239"/>
      <c r="D24" s="239"/>
      <c r="E24" s="239"/>
      <c r="F24" s="239"/>
      <c r="G24" s="239"/>
      <c r="H24" s="239"/>
      <c r="I24" s="239"/>
      <c r="J24" s="239"/>
    </row>
    <row r="25" spans="1:11">
      <c r="A25" s="239"/>
      <c r="B25" s="239"/>
      <c r="C25" s="239"/>
      <c r="D25" s="239"/>
      <c r="E25" s="239"/>
      <c r="F25" s="239"/>
      <c r="G25" s="239"/>
      <c r="H25" s="239"/>
      <c r="I25" s="239"/>
      <c r="J25" s="239"/>
    </row>
    <row r="26" spans="1:11">
      <c r="A26" s="239"/>
      <c r="B26" s="239"/>
      <c r="C26" s="239"/>
      <c r="D26" s="239"/>
      <c r="E26" s="239"/>
      <c r="F26" s="239"/>
      <c r="G26" s="239"/>
      <c r="H26" s="239"/>
      <c r="I26" s="239"/>
      <c r="J26" s="239"/>
    </row>
    <row r="27" spans="1:11">
      <c r="A27" s="239"/>
      <c r="B27" s="314"/>
      <c r="C27" s="239"/>
      <c r="D27" s="239"/>
      <c r="E27" s="239"/>
      <c r="F27" s="239"/>
      <c r="G27" s="239"/>
      <c r="H27" s="239"/>
      <c r="I27" s="239"/>
      <c r="J27" s="239"/>
    </row>
    <row r="28" spans="1:11">
      <c r="A28" s="239"/>
      <c r="B28" s="314"/>
      <c r="C28" s="239"/>
      <c r="D28" s="239"/>
      <c r="E28" s="239"/>
      <c r="F28" s="239"/>
      <c r="G28" s="239"/>
      <c r="H28" s="239"/>
      <c r="I28" s="239"/>
      <c r="J28" s="239"/>
    </row>
    <row r="29" spans="1:11">
      <c r="A29" s="239"/>
      <c r="B29" s="314"/>
      <c r="C29" s="239"/>
      <c r="D29" s="239"/>
      <c r="E29" s="239"/>
      <c r="F29" s="239"/>
      <c r="G29" s="239"/>
      <c r="H29" s="239"/>
      <c r="I29" s="239"/>
      <c r="J29" s="239"/>
    </row>
    <row r="30" spans="1:11">
      <c r="A30" s="239"/>
      <c r="B30" s="239"/>
      <c r="C30" s="239"/>
      <c r="D30" s="239"/>
      <c r="E30" s="239"/>
      <c r="F30" s="239"/>
      <c r="G30" s="239"/>
      <c r="H30" s="239"/>
      <c r="I30" s="239"/>
      <c r="J30" s="239"/>
    </row>
    <row r="31" spans="1:11">
      <c r="A31" s="239"/>
      <c r="B31" s="238"/>
      <c r="C31" s="239"/>
      <c r="D31" s="239"/>
      <c r="E31" s="239"/>
      <c r="F31" s="239"/>
      <c r="G31" s="239"/>
      <c r="H31" s="239"/>
      <c r="I31" s="239"/>
      <c r="J31" s="239"/>
    </row>
    <row r="32" spans="1:11">
      <c r="A32" s="239"/>
      <c r="B32" s="238"/>
      <c r="C32" s="239"/>
      <c r="D32" s="239"/>
      <c r="E32" s="239"/>
      <c r="F32" s="239"/>
      <c r="G32" s="239"/>
      <c r="H32" s="239"/>
      <c r="I32" s="239"/>
      <c r="J32" s="239"/>
    </row>
    <row r="33" spans="1:10">
      <c r="A33" s="239"/>
      <c r="B33" s="238"/>
      <c r="C33" s="239"/>
      <c r="D33" s="239"/>
      <c r="E33" s="239"/>
      <c r="F33" s="239"/>
      <c r="G33" s="239"/>
      <c r="H33" s="239"/>
      <c r="I33" s="239"/>
      <c r="J33" s="239"/>
    </row>
    <row r="34" spans="1:10">
      <c r="A34" s="239"/>
      <c r="B34" s="239"/>
      <c r="C34" s="239"/>
      <c r="D34" s="239"/>
      <c r="E34" s="239"/>
      <c r="F34" s="239"/>
      <c r="G34" s="239"/>
      <c r="H34" s="239"/>
      <c r="I34" s="239"/>
      <c r="J34" s="239"/>
    </row>
    <row r="35" spans="1:10">
      <c r="A35" s="239"/>
      <c r="B35" s="239"/>
      <c r="C35" s="239"/>
      <c r="D35" s="239"/>
      <c r="E35" s="239"/>
      <c r="F35" s="239"/>
      <c r="G35" s="239"/>
      <c r="H35" s="239"/>
      <c r="I35" s="239"/>
      <c r="J35" s="239"/>
    </row>
    <row r="36" spans="1:10">
      <c r="A36" s="239"/>
      <c r="B36" s="239"/>
      <c r="C36" s="239"/>
      <c r="D36" s="239"/>
      <c r="E36" s="239"/>
      <c r="F36" s="239"/>
      <c r="G36" s="239"/>
      <c r="H36" s="239"/>
      <c r="I36" s="239"/>
      <c r="J36" s="239"/>
    </row>
    <row r="37" spans="1:10">
      <c r="A37" s="239"/>
      <c r="B37" s="239"/>
      <c r="C37" s="239"/>
      <c r="D37" s="239"/>
      <c r="E37" s="239"/>
      <c r="F37" s="239"/>
      <c r="G37" s="239"/>
      <c r="H37" s="239"/>
      <c r="I37" s="239"/>
      <c r="J37" s="239"/>
    </row>
    <row r="38" spans="1:10">
      <c r="A38" s="239"/>
      <c r="B38" s="239"/>
      <c r="C38" s="239"/>
      <c r="D38" s="239"/>
      <c r="E38" s="239"/>
      <c r="F38" s="239"/>
      <c r="G38" s="239"/>
      <c r="H38" s="239"/>
      <c r="I38" s="239"/>
      <c r="J38" s="239"/>
    </row>
    <row r="39" spans="1:10">
      <c r="A39" s="239"/>
      <c r="B39" s="239"/>
      <c r="C39" s="239"/>
      <c r="D39" s="239"/>
      <c r="E39" s="239"/>
      <c r="F39" s="239"/>
      <c r="G39" s="239"/>
      <c r="H39" s="239"/>
      <c r="I39" s="239"/>
      <c r="J39" s="239"/>
    </row>
    <row r="40" spans="1:10">
      <c r="A40" s="239"/>
      <c r="B40" s="239"/>
      <c r="C40" s="239"/>
      <c r="D40" s="239"/>
      <c r="E40" s="239"/>
      <c r="F40" s="239"/>
      <c r="G40" s="239"/>
      <c r="H40" s="239"/>
      <c r="I40" s="239"/>
      <c r="J40" s="239"/>
    </row>
    <row r="41" spans="1:10">
      <c r="A41" s="239"/>
      <c r="B41" s="239"/>
      <c r="C41" s="239"/>
      <c r="D41" s="239"/>
      <c r="E41" s="239"/>
      <c r="F41" s="239"/>
      <c r="G41" s="239"/>
      <c r="H41" s="239"/>
      <c r="I41" s="239"/>
      <c r="J41" s="239"/>
    </row>
    <row r="42" spans="1:10">
      <c r="A42" s="239"/>
      <c r="B42" s="239"/>
      <c r="C42" s="239"/>
      <c r="D42" s="239"/>
      <c r="E42" s="239"/>
      <c r="F42" s="239"/>
      <c r="G42" s="239"/>
      <c r="H42" s="239"/>
      <c r="I42" s="239"/>
      <c r="J42" s="239"/>
    </row>
    <row r="43" spans="1:10">
      <c r="A43" s="239"/>
      <c r="B43" s="239"/>
      <c r="C43" s="239"/>
      <c r="D43" s="239"/>
      <c r="E43" s="239"/>
      <c r="F43" s="239"/>
      <c r="G43" s="239"/>
      <c r="H43" s="239"/>
      <c r="I43" s="239"/>
      <c r="J43" s="239"/>
    </row>
    <row r="44" spans="1:10">
      <c r="A44" s="239"/>
      <c r="B44" s="239"/>
      <c r="C44" s="239"/>
      <c r="D44" s="239"/>
      <c r="E44" s="239"/>
      <c r="F44" s="239"/>
      <c r="G44" s="239"/>
      <c r="H44" s="239"/>
      <c r="I44" s="239"/>
      <c r="J44" s="239"/>
    </row>
    <row r="45" spans="1:10">
      <c r="A45" s="239"/>
      <c r="B45" s="239"/>
      <c r="C45" s="239"/>
      <c r="D45" s="239"/>
      <c r="E45" s="239"/>
      <c r="F45" s="239"/>
      <c r="G45" s="239"/>
      <c r="H45" s="239"/>
      <c r="I45" s="239"/>
      <c r="J45" s="239"/>
    </row>
    <row r="46" spans="1:10">
      <c r="A46" s="239"/>
      <c r="B46" s="239"/>
      <c r="C46" s="239"/>
      <c r="D46" s="239"/>
      <c r="E46" s="239"/>
      <c r="F46" s="239"/>
      <c r="G46" s="239"/>
      <c r="H46" s="239"/>
      <c r="I46" s="239"/>
      <c r="J46" s="239"/>
    </row>
    <row r="47" spans="1:10">
      <c r="A47" s="239"/>
      <c r="B47" s="239"/>
      <c r="C47" s="239"/>
      <c r="D47" s="239"/>
      <c r="E47" s="239"/>
      <c r="F47" s="239"/>
      <c r="G47" s="239"/>
      <c r="H47" s="239"/>
      <c r="I47" s="239"/>
      <c r="J47" s="239"/>
    </row>
    <row r="48" spans="1:10">
      <c r="A48" s="239"/>
      <c r="B48" s="317" t="s">
        <v>3</v>
      </c>
      <c r="C48" s="239"/>
      <c r="D48" s="239"/>
      <c r="E48" s="239"/>
      <c r="F48" s="239"/>
      <c r="G48" s="239"/>
      <c r="H48" s="316" t="s">
        <v>4</v>
      </c>
      <c r="I48" s="239"/>
      <c r="J48" s="239"/>
    </row>
    <row r="49" spans="1:10">
      <c r="A49" s="239"/>
      <c r="B49" s="239"/>
      <c r="C49" s="239"/>
      <c r="D49" s="239"/>
      <c r="E49" s="239"/>
      <c r="F49" s="239"/>
      <c r="G49" s="239"/>
      <c r="H49" s="239"/>
      <c r="I49" s="239"/>
      <c r="J49" s="239"/>
    </row>
  </sheetData>
  <sheetProtection algorithmName="SHA-512" hashValue="yCPr0PhqdpPGKKHF6qfSS1TFqIpS62jHfL2MNqo20a+mtNjEJoJ7cv71IZDWKHlnqY+rry+H4vrC75gDNX/94g==" saltValue="WOt4BeggRDsEk2/Zm8//cg==" spinCount="100000" sheet="1" objects="1" scenarios="1" selectLockedCells="1" selectUnlockedCells="1"/>
  <hyperlinks>
    <hyperlink ref="H48" r:id="rId1" xr:uid="{77CBBAA9-8799-4C47-871B-05D9F214BB9D}"/>
  </hyperlinks>
  <pageMargins left="1.0899999999999999" right="0.7" top="0.75" bottom="0.75" header="0.3" footer="0.3"/>
  <pageSetup scale="88"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7CA4C-518B-448E-A18B-A695E5BFDE2C}">
  <dimension ref="A2:H44"/>
  <sheetViews>
    <sheetView zoomScale="145" zoomScaleNormal="145" workbookViewId="0"/>
  </sheetViews>
  <sheetFormatPr defaultColWidth="9.140625" defaultRowHeight="15"/>
  <cols>
    <col min="1" max="1" width="33.5703125" style="166" customWidth="1"/>
    <col min="2" max="2" width="41.140625" style="166" customWidth="1"/>
    <col min="3" max="3" width="65.140625" style="166" customWidth="1"/>
    <col min="4" max="16384" width="9.140625" style="166"/>
  </cols>
  <sheetData>
    <row r="2" spans="1:8" ht="23.25">
      <c r="A2" s="359" t="s">
        <v>429</v>
      </c>
      <c r="B2" s="295"/>
      <c r="C2" s="295"/>
    </row>
    <row r="4" spans="1:8">
      <c r="A4" s="300" t="s">
        <v>430</v>
      </c>
      <c r="B4" s="300" t="s">
        <v>431</v>
      </c>
      <c r="C4" s="300" t="s">
        <v>432</v>
      </c>
    </row>
    <row r="5" spans="1:8">
      <c r="A5" s="298" t="s">
        <v>433</v>
      </c>
      <c r="B5" s="360" t="s">
        <v>345</v>
      </c>
      <c r="C5" s="361" t="s">
        <v>345</v>
      </c>
    </row>
    <row r="6" spans="1:8" ht="45" customHeight="1">
      <c r="A6" s="362" t="s">
        <v>434</v>
      </c>
      <c r="B6" s="362" t="s">
        <v>435</v>
      </c>
      <c r="C6" s="641" t="s">
        <v>436</v>
      </c>
      <c r="D6" s="296"/>
      <c r="E6" s="296"/>
      <c r="F6" s="296"/>
      <c r="G6" s="296"/>
      <c r="H6" s="296"/>
    </row>
    <row r="7" spans="1:8" ht="22.5" customHeight="1">
      <c r="A7" s="363" t="s">
        <v>437</v>
      </c>
      <c r="B7" s="297" t="s">
        <v>438</v>
      </c>
      <c r="C7" s="642"/>
    </row>
    <row r="8" spans="1:8">
      <c r="A8" s="363" t="s">
        <v>439</v>
      </c>
      <c r="B8" s="363" t="s">
        <v>440</v>
      </c>
      <c r="C8" s="642"/>
    </row>
    <row r="9" spans="1:8">
      <c r="A9" s="650" t="s">
        <v>441</v>
      </c>
      <c r="B9" s="363" t="s">
        <v>442</v>
      </c>
      <c r="C9" s="642"/>
    </row>
    <row r="10" spans="1:8">
      <c r="A10" s="650"/>
      <c r="B10" s="363" t="s">
        <v>443</v>
      </c>
      <c r="C10" s="642"/>
    </row>
    <row r="11" spans="1:8" ht="22.5" customHeight="1">
      <c r="A11" s="363" t="s">
        <v>444</v>
      </c>
      <c r="B11" s="297" t="s">
        <v>445</v>
      </c>
      <c r="C11" s="642"/>
    </row>
    <row r="12" spans="1:8" ht="22.5" customHeight="1">
      <c r="A12" s="364" t="s">
        <v>446</v>
      </c>
      <c r="B12" s="365" t="s">
        <v>447</v>
      </c>
      <c r="C12" s="645"/>
    </row>
    <row r="13" spans="1:8">
      <c r="A13" s="298" t="s">
        <v>448</v>
      </c>
      <c r="B13" s="298" t="s">
        <v>345</v>
      </c>
      <c r="C13" s="298" t="s">
        <v>345</v>
      </c>
    </row>
    <row r="14" spans="1:8" ht="27.75" customHeight="1">
      <c r="A14" s="362" t="s">
        <v>449</v>
      </c>
      <c r="B14" s="641" t="s">
        <v>450</v>
      </c>
      <c r="C14" s="362" t="s">
        <v>451</v>
      </c>
    </row>
    <row r="15" spans="1:8" ht="36" customHeight="1">
      <c r="A15" s="365" t="s">
        <v>452</v>
      </c>
      <c r="B15" s="645"/>
      <c r="C15" s="365" t="s">
        <v>453</v>
      </c>
    </row>
    <row r="16" spans="1:8" ht="18.75" customHeight="1">
      <c r="A16" s="298" t="s">
        <v>454</v>
      </c>
      <c r="B16" s="298" t="s">
        <v>345</v>
      </c>
      <c r="C16" s="298" t="s">
        <v>345</v>
      </c>
    </row>
    <row r="17" spans="1:3" ht="67.5" customHeight="1">
      <c r="A17" s="648" t="s">
        <v>455</v>
      </c>
      <c r="B17" s="366" t="s">
        <v>456</v>
      </c>
      <c r="C17" s="362" t="s">
        <v>457</v>
      </c>
    </row>
    <row r="18" spans="1:3" ht="33" customHeight="1">
      <c r="A18" s="649"/>
      <c r="B18" s="365" t="s">
        <v>458</v>
      </c>
      <c r="C18" s="365" t="s">
        <v>459</v>
      </c>
    </row>
    <row r="19" spans="1:3" ht="22.5">
      <c r="A19" s="298" t="s">
        <v>460</v>
      </c>
      <c r="B19" s="360" t="s">
        <v>345</v>
      </c>
      <c r="C19" s="361" t="s">
        <v>345</v>
      </c>
    </row>
    <row r="20" spans="1:3" ht="36.75" customHeight="1">
      <c r="A20" s="654" t="s">
        <v>461</v>
      </c>
      <c r="B20" s="654" t="s">
        <v>462</v>
      </c>
      <c r="C20" s="297" t="s">
        <v>463</v>
      </c>
    </row>
    <row r="21" spans="1:3" ht="35.25" customHeight="1">
      <c r="A21" s="654"/>
      <c r="B21" s="655"/>
      <c r="C21" s="362" t="s">
        <v>464</v>
      </c>
    </row>
    <row r="22" spans="1:3" ht="30" customHeight="1">
      <c r="A22" s="654"/>
      <c r="B22" s="654" t="s">
        <v>465</v>
      </c>
      <c r="C22" s="297" t="s">
        <v>466</v>
      </c>
    </row>
    <row r="23" spans="1:3" ht="49.5" customHeight="1">
      <c r="A23" s="641"/>
      <c r="B23" s="641"/>
      <c r="C23" s="367" t="s">
        <v>467</v>
      </c>
    </row>
    <row r="24" spans="1:3" ht="30" customHeight="1">
      <c r="A24" s="642" t="s">
        <v>468</v>
      </c>
      <c r="B24" s="642" t="s">
        <v>469</v>
      </c>
      <c r="C24" s="297" t="s">
        <v>470</v>
      </c>
    </row>
    <row r="25" spans="1:3" ht="32.25" customHeight="1">
      <c r="A25" s="645"/>
      <c r="B25" s="645"/>
      <c r="C25" s="365" t="s">
        <v>471</v>
      </c>
    </row>
    <row r="26" spans="1:3">
      <c r="A26" s="368" t="s">
        <v>472</v>
      </c>
      <c r="B26" s="368"/>
      <c r="C26" s="368"/>
    </row>
    <row r="27" spans="1:3">
      <c r="A27" s="298" t="s">
        <v>473</v>
      </c>
      <c r="B27" s="298" t="s">
        <v>345</v>
      </c>
      <c r="C27" s="298" t="s">
        <v>345</v>
      </c>
    </row>
    <row r="28" spans="1:3">
      <c r="A28" s="362" t="s">
        <v>474</v>
      </c>
      <c r="B28" s="646" t="s">
        <v>475</v>
      </c>
      <c r="C28" s="651" t="s">
        <v>476</v>
      </c>
    </row>
    <row r="29" spans="1:3">
      <c r="A29" s="363" t="s">
        <v>477</v>
      </c>
      <c r="B29" s="646"/>
      <c r="C29" s="652"/>
    </row>
    <row r="30" spans="1:3">
      <c r="A30" s="363" t="s">
        <v>478</v>
      </c>
      <c r="B30" s="646"/>
      <c r="C30" s="652"/>
    </row>
    <row r="31" spans="1:3">
      <c r="A31" s="363" t="s">
        <v>479</v>
      </c>
      <c r="B31" s="646"/>
      <c r="C31" s="652"/>
    </row>
    <row r="32" spans="1:3">
      <c r="A32" s="363" t="s">
        <v>480</v>
      </c>
      <c r="B32" s="646"/>
      <c r="C32" s="652"/>
    </row>
    <row r="33" spans="1:3">
      <c r="A33" s="366" t="s">
        <v>481</v>
      </c>
      <c r="B33" s="647"/>
      <c r="C33" s="652"/>
    </row>
    <row r="34" spans="1:3" ht="19.5" customHeight="1">
      <c r="A34" s="365" t="s">
        <v>482</v>
      </c>
      <c r="B34" s="369" t="s">
        <v>483</v>
      </c>
      <c r="C34" s="653"/>
    </row>
    <row r="35" spans="1:3" ht="18" customHeight="1">
      <c r="A35" s="298" t="s">
        <v>484</v>
      </c>
      <c r="B35" s="298" t="s">
        <v>345</v>
      </c>
      <c r="C35" s="298" t="s">
        <v>345</v>
      </c>
    </row>
    <row r="36" spans="1:3" ht="22.5">
      <c r="A36" s="641" t="s">
        <v>485</v>
      </c>
      <c r="B36" s="643" t="s">
        <v>486</v>
      </c>
      <c r="C36" s="362" t="s">
        <v>487</v>
      </c>
    </row>
    <row r="37" spans="1:3" ht="33" customHeight="1">
      <c r="A37" s="642"/>
      <c r="B37" s="644"/>
      <c r="C37" s="297" t="s">
        <v>488</v>
      </c>
    </row>
    <row r="38" spans="1:3" ht="32.25" customHeight="1">
      <c r="A38" s="365" t="s">
        <v>489</v>
      </c>
      <c r="B38" s="365" t="s">
        <v>490</v>
      </c>
      <c r="C38" s="370" t="s">
        <v>491</v>
      </c>
    </row>
    <row r="39" spans="1:3">
      <c r="A39" s="298" t="s">
        <v>492</v>
      </c>
      <c r="B39" s="299"/>
      <c r="C39" s="299"/>
    </row>
    <row r="40" spans="1:3" ht="39.75" customHeight="1">
      <c r="A40" s="371" t="s">
        <v>493</v>
      </c>
      <c r="B40" s="58" t="s">
        <v>494</v>
      </c>
      <c r="C40" s="372" t="s">
        <v>495</v>
      </c>
    </row>
    <row r="41" spans="1:3" ht="27.75" customHeight="1">
      <c r="A41" s="298" t="s">
        <v>496</v>
      </c>
      <c r="B41" s="299"/>
      <c r="C41" s="299"/>
    </row>
    <row r="42" spans="1:3" ht="47.25" customHeight="1">
      <c r="A42" s="362" t="s">
        <v>497</v>
      </c>
      <c r="B42" s="362" t="s">
        <v>498</v>
      </c>
      <c r="C42" s="362" t="s">
        <v>499</v>
      </c>
    </row>
    <row r="43" spans="1:3" ht="22.5" customHeight="1">
      <c r="A43" s="297" t="s">
        <v>500</v>
      </c>
      <c r="B43" s="297" t="s">
        <v>501</v>
      </c>
      <c r="C43" s="297" t="s">
        <v>502</v>
      </c>
    </row>
    <row r="44" spans="1:3" ht="33.75">
      <c r="A44" s="297" t="s">
        <v>503</v>
      </c>
      <c r="B44" s="297" t="s">
        <v>504</v>
      </c>
      <c r="C44" s="297" t="s">
        <v>505</v>
      </c>
    </row>
  </sheetData>
  <sheetProtection algorithmName="SHA-512" hashValue="+XgRbZdpJW4NOwzLlSNYbmyqzJUHTPdHXQigLOeucwUKiL1cvYIrnrSsyew19pMou66xenzkao4aW1mujL/z8g==" saltValue="MYq1XxvY+s2NPVisAHfTZg==" spinCount="100000" sheet="1" objects="1" scenarios="1" selectLockedCells="1" selectUnlockedCells="1"/>
  <mergeCells count="13">
    <mergeCell ref="C6:C12"/>
    <mergeCell ref="B14:B15"/>
    <mergeCell ref="A17:A18"/>
    <mergeCell ref="A9:A10"/>
    <mergeCell ref="C28:C34"/>
    <mergeCell ref="B20:B21"/>
    <mergeCell ref="B22:B23"/>
    <mergeCell ref="A20:A23"/>
    <mergeCell ref="A36:A37"/>
    <mergeCell ref="B36:B37"/>
    <mergeCell ref="A24:A25"/>
    <mergeCell ref="B24:B25"/>
    <mergeCell ref="B28:B33"/>
  </mergeCells>
  <phoneticPr fontId="81" type="noConversion"/>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2"/>
  <sheetViews>
    <sheetView zoomScale="145" zoomScaleNormal="145" workbookViewId="0"/>
  </sheetViews>
  <sheetFormatPr defaultColWidth="9.140625" defaultRowHeight="12" customHeight="1"/>
  <cols>
    <col min="1" max="1" width="76.7109375" style="166" bestFit="1" customWidth="1"/>
    <col min="2" max="2" width="10.140625" style="166" bestFit="1" customWidth="1"/>
    <col min="3" max="3" width="11.28515625" style="166" customWidth="1"/>
    <col min="4" max="4" width="10.5703125" style="166" customWidth="1"/>
    <col min="5" max="5" width="9" style="166" customWidth="1"/>
    <col min="6" max="6" width="8.5703125" style="166" customWidth="1"/>
    <col min="7" max="7" width="12" style="166" customWidth="1"/>
    <col min="8" max="16384" width="9.140625" style="166"/>
  </cols>
  <sheetData>
    <row r="1" spans="1:10" ht="12" customHeight="1">
      <c r="A1" s="8"/>
      <c r="B1" s="13"/>
      <c r="C1" s="13"/>
      <c r="D1" s="14"/>
      <c r="E1" s="14"/>
      <c r="F1" s="14"/>
    </row>
    <row r="2" spans="1:10" ht="23.25">
      <c r="A2" s="167" t="s">
        <v>5</v>
      </c>
      <c r="B2" s="167"/>
      <c r="C2" s="167"/>
      <c r="D2" s="167"/>
      <c r="E2" s="167"/>
      <c r="F2" s="167"/>
      <c r="G2" s="167"/>
      <c r="H2" s="167"/>
      <c r="I2" s="167"/>
    </row>
    <row r="3" spans="1:10" ht="12" customHeight="1">
      <c r="A3" s="8"/>
      <c r="B3" s="13"/>
      <c r="C3" s="13"/>
      <c r="D3" s="14"/>
      <c r="E3" s="14"/>
      <c r="F3" s="14"/>
    </row>
    <row r="4" spans="1:10" ht="33.75">
      <c r="A4" s="318" t="s">
        <v>6</v>
      </c>
      <c r="B4" s="174" t="s">
        <v>7</v>
      </c>
      <c r="C4" s="240" t="s">
        <v>8</v>
      </c>
      <c r="D4" s="174" t="s">
        <v>9</v>
      </c>
      <c r="E4" s="174" t="s">
        <v>10</v>
      </c>
      <c r="F4" s="174" t="s">
        <v>11</v>
      </c>
      <c r="G4" s="174" t="s">
        <v>12</v>
      </c>
    </row>
    <row r="5" spans="1:10" ht="12" customHeight="1">
      <c r="A5" s="319" t="s">
        <v>13</v>
      </c>
      <c r="B5" s="6" t="s">
        <v>14</v>
      </c>
      <c r="C5" s="10">
        <f>Environment!G40/100</f>
        <v>255.84</v>
      </c>
      <c r="D5" s="6">
        <v>1983</v>
      </c>
      <c r="E5" s="6">
        <v>2018</v>
      </c>
      <c r="F5" s="243">
        <f>+C33</f>
        <v>267</v>
      </c>
      <c r="G5" s="243">
        <f>+C42</f>
        <v>919</v>
      </c>
    </row>
    <row r="6" spans="1:10" ht="12" customHeight="1">
      <c r="A6" s="320" t="s">
        <v>15</v>
      </c>
      <c r="B6" s="22" t="s">
        <v>16</v>
      </c>
      <c r="C6" s="22">
        <v>357</v>
      </c>
      <c r="D6" s="22">
        <v>1983</v>
      </c>
      <c r="E6" s="22">
        <v>2016</v>
      </c>
      <c r="F6" s="243">
        <f t="shared" ref="F6:F8" si="0">+C34</f>
        <v>161</v>
      </c>
      <c r="G6" s="243">
        <f t="shared" ref="G6:G8" si="1">+C43</f>
        <v>180</v>
      </c>
    </row>
    <row r="7" spans="1:10" ht="12" customHeight="1">
      <c r="A7" s="319" t="s">
        <v>17</v>
      </c>
      <c r="B7" s="6" t="s">
        <v>16</v>
      </c>
      <c r="C7" s="6">
        <v>104</v>
      </c>
      <c r="D7" s="6">
        <v>2005</v>
      </c>
      <c r="E7" s="6">
        <v>2014</v>
      </c>
      <c r="F7" s="243">
        <f t="shared" si="0"/>
        <v>94</v>
      </c>
      <c r="G7" s="243">
        <f t="shared" si="1"/>
        <v>220</v>
      </c>
    </row>
    <row r="8" spans="1:10" ht="12" customHeight="1" thickBot="1">
      <c r="A8" s="321" t="s">
        <v>18</v>
      </c>
      <c r="B8" s="25" t="s">
        <v>16</v>
      </c>
      <c r="C8" s="25">
        <v>176</v>
      </c>
      <c r="D8" s="25">
        <v>2008</v>
      </c>
      <c r="E8" s="25">
        <v>2013</v>
      </c>
      <c r="F8" s="25">
        <f t="shared" si="0"/>
        <v>0</v>
      </c>
      <c r="G8" s="25">
        <f t="shared" si="1"/>
        <v>0</v>
      </c>
    </row>
    <row r="9" spans="1:10" ht="12" customHeight="1">
      <c r="A9" s="7"/>
      <c r="B9" s="15"/>
      <c r="C9" s="15"/>
      <c r="D9" s="16"/>
      <c r="E9" s="16"/>
      <c r="F9" s="16"/>
    </row>
    <row r="10" spans="1:10" ht="12" customHeight="1">
      <c r="A10" s="175" t="s">
        <v>19</v>
      </c>
      <c r="B10" s="174" t="s">
        <v>20</v>
      </c>
      <c r="C10" s="170">
        <v>2025</v>
      </c>
      <c r="D10" s="170">
        <v>2024</v>
      </c>
      <c r="E10" s="170">
        <v>2023</v>
      </c>
      <c r="F10" s="170">
        <v>2022</v>
      </c>
      <c r="G10" s="170">
        <v>2021</v>
      </c>
      <c r="H10" s="170">
        <v>2020</v>
      </c>
      <c r="I10" s="170">
        <v>2019</v>
      </c>
      <c r="J10" s="170">
        <v>2018</v>
      </c>
    </row>
    <row r="11" spans="1:10" ht="12" customHeight="1">
      <c r="A11" s="322" t="s">
        <v>21</v>
      </c>
      <c r="B11" s="176"/>
      <c r="C11" s="348"/>
      <c r="D11" s="348"/>
      <c r="E11" s="348"/>
      <c r="F11" s="176"/>
      <c r="G11" s="176"/>
      <c r="H11" s="176"/>
      <c r="I11" s="176"/>
      <c r="J11" s="176"/>
    </row>
    <row r="12" spans="1:10" ht="12" customHeight="1">
      <c r="A12" s="323" t="s">
        <v>22</v>
      </c>
      <c r="B12" s="21" t="s">
        <v>23</v>
      </c>
      <c r="C12" s="349">
        <v>10.6</v>
      </c>
      <c r="D12" s="349">
        <v>9.6999999999999993</v>
      </c>
      <c r="E12" s="349">
        <v>10</v>
      </c>
      <c r="F12" s="324">
        <v>9.8000000000000007</v>
      </c>
      <c r="G12" s="324">
        <v>11.1</v>
      </c>
      <c r="H12" s="324">
        <v>12</v>
      </c>
      <c r="I12" s="250">
        <v>12.5</v>
      </c>
      <c r="J12" s="250">
        <v>12.1</v>
      </c>
    </row>
    <row r="13" spans="1:10" ht="12" customHeight="1">
      <c r="A13" s="325" t="s">
        <v>24</v>
      </c>
      <c r="B13" s="6" t="s">
        <v>23</v>
      </c>
      <c r="C13" s="349">
        <v>0</v>
      </c>
      <c r="D13" s="349">
        <v>0</v>
      </c>
      <c r="E13" s="349">
        <v>0</v>
      </c>
      <c r="F13" s="324">
        <v>0</v>
      </c>
      <c r="G13" s="324">
        <v>0</v>
      </c>
      <c r="H13" s="324">
        <v>0.12102755</v>
      </c>
      <c r="I13" s="324">
        <v>0.55480985200499999</v>
      </c>
      <c r="J13" s="324">
        <v>0.60871932063</v>
      </c>
    </row>
    <row r="14" spans="1:10" ht="12" customHeight="1">
      <c r="A14" s="326" t="s">
        <v>25</v>
      </c>
      <c r="B14" s="22" t="s">
        <v>23</v>
      </c>
      <c r="C14" s="349">
        <v>1.8</v>
      </c>
      <c r="D14" s="349">
        <v>2.1</v>
      </c>
      <c r="E14" s="349">
        <v>2.2000000000000002</v>
      </c>
      <c r="F14" s="324">
        <v>2.1</v>
      </c>
      <c r="G14" s="324">
        <v>1.9</v>
      </c>
      <c r="H14" s="324">
        <v>1.5543272299999999</v>
      </c>
      <c r="I14" s="324">
        <v>2.6732238119399998</v>
      </c>
      <c r="J14" s="324">
        <v>2.7272693583150001</v>
      </c>
    </row>
    <row r="15" spans="1:10" ht="12" customHeight="1">
      <c r="A15" s="327" t="s">
        <v>26</v>
      </c>
      <c r="B15" s="11" t="s">
        <v>23</v>
      </c>
      <c r="C15" s="350">
        <v>3.6</v>
      </c>
      <c r="D15" s="350">
        <v>3.5</v>
      </c>
      <c r="E15" s="350">
        <v>3.6</v>
      </c>
      <c r="F15" s="328">
        <v>4</v>
      </c>
      <c r="G15" s="328">
        <v>4.4000000000000004</v>
      </c>
      <c r="H15" s="328">
        <v>3.41680888</v>
      </c>
      <c r="I15" s="328">
        <v>4.481638142415</v>
      </c>
      <c r="J15" s="328">
        <v>4.7068767557699998</v>
      </c>
    </row>
    <row r="16" spans="1:10" ht="12" customHeight="1" thickBot="1">
      <c r="A16" s="329" t="s">
        <v>27</v>
      </c>
      <c r="B16" s="12" t="s">
        <v>23</v>
      </c>
      <c r="C16" s="351">
        <f>SUM(C12:C15)</f>
        <v>16</v>
      </c>
      <c r="D16" s="351">
        <f>SUM(D12:D15)</f>
        <v>15.299999999999999</v>
      </c>
      <c r="E16" s="351">
        <f>SUM(E12:E15)</f>
        <v>15.799999999999999</v>
      </c>
      <c r="F16" s="330">
        <v>16</v>
      </c>
      <c r="G16" s="330">
        <f>SUM(G12:G15)</f>
        <v>17.399999999999999</v>
      </c>
      <c r="H16" s="330">
        <f>SUM(H12:H15)</f>
        <v>17.092163660000001</v>
      </c>
      <c r="I16" s="330">
        <f t="shared" ref="I16:J16" si="2">SUM(I12:I15)</f>
        <v>20.209671806359999</v>
      </c>
      <c r="J16" s="330">
        <f t="shared" si="2"/>
        <v>20.142865434714999</v>
      </c>
    </row>
    <row r="17" spans="1:11" ht="12" customHeight="1">
      <c r="A17" s="325"/>
      <c r="B17" s="6"/>
      <c r="C17" s="78"/>
      <c r="D17" s="78"/>
      <c r="E17" s="78"/>
      <c r="F17" s="6"/>
      <c r="G17" s="6"/>
      <c r="H17" s="331"/>
      <c r="I17" s="331"/>
      <c r="J17" s="331"/>
    </row>
    <row r="18" spans="1:11" ht="12" customHeight="1">
      <c r="A18" s="322" t="s">
        <v>28</v>
      </c>
      <c r="B18" s="174"/>
      <c r="C18" s="170"/>
      <c r="D18" s="170"/>
      <c r="E18" s="170"/>
      <c r="F18" s="174"/>
      <c r="G18" s="174"/>
      <c r="H18" s="169"/>
      <c r="I18" s="170"/>
      <c r="J18" s="170"/>
    </row>
    <row r="19" spans="1:11" ht="12" customHeight="1">
      <c r="A19" s="325" t="s">
        <v>22</v>
      </c>
      <c r="B19" s="332" t="s">
        <v>23</v>
      </c>
      <c r="C19" s="248">
        <v>6.9</v>
      </c>
      <c r="D19" s="248">
        <v>6.6</v>
      </c>
      <c r="E19" s="248">
        <v>6.8</v>
      </c>
      <c r="F19" s="250">
        <v>6.4</v>
      </c>
      <c r="G19" s="250">
        <v>7.8</v>
      </c>
      <c r="H19" s="250">
        <v>8.4</v>
      </c>
      <c r="I19" s="250">
        <v>9.1999999999999993</v>
      </c>
      <c r="J19" s="250">
        <v>8.6999999999999993</v>
      </c>
      <c r="K19" s="333"/>
    </row>
    <row r="20" spans="1:11" ht="12" customHeight="1">
      <c r="A20" s="326" t="s">
        <v>24</v>
      </c>
      <c r="B20" s="334" t="s">
        <v>23</v>
      </c>
      <c r="C20" s="349">
        <v>0</v>
      </c>
      <c r="D20" s="349">
        <v>0</v>
      </c>
      <c r="E20" s="349">
        <v>0</v>
      </c>
      <c r="F20" s="324">
        <v>0</v>
      </c>
      <c r="G20" s="562">
        <v>4.4000000000000004</v>
      </c>
      <c r="H20" s="324">
        <f>121027.55/1000000</f>
        <v>0.12102755</v>
      </c>
      <c r="I20" s="324">
        <v>0.55480985200499999</v>
      </c>
      <c r="J20" s="324">
        <v>0.60871932063</v>
      </c>
    </row>
    <row r="21" spans="1:11" ht="12" customHeight="1">
      <c r="A21" s="323" t="s">
        <v>25</v>
      </c>
      <c r="B21" s="335" t="s">
        <v>23</v>
      </c>
      <c r="C21" s="349">
        <v>1.7</v>
      </c>
      <c r="D21" s="349">
        <v>2.1</v>
      </c>
      <c r="E21" s="349">
        <v>2.2000000000000002</v>
      </c>
      <c r="F21" s="324">
        <v>2.1</v>
      </c>
      <c r="G21" s="324">
        <v>1.9</v>
      </c>
      <c r="H21" s="324">
        <f>1554327.23/1000000</f>
        <v>1.5543272299999999</v>
      </c>
      <c r="I21" s="324">
        <v>2.6732238119399998</v>
      </c>
      <c r="J21" s="324">
        <v>2.7272693583150001</v>
      </c>
    </row>
    <row r="22" spans="1:11" ht="12" customHeight="1">
      <c r="A22" s="325" t="s">
        <v>26</v>
      </c>
      <c r="B22" s="336" t="s">
        <v>23</v>
      </c>
      <c r="C22" s="350">
        <v>3.6</v>
      </c>
      <c r="D22" s="350">
        <v>3.5</v>
      </c>
      <c r="E22" s="350">
        <v>3.6</v>
      </c>
      <c r="F22" s="328">
        <v>4</v>
      </c>
      <c r="G22" s="328">
        <v>0</v>
      </c>
      <c r="H22" s="328">
        <f>3416808.88/1000000</f>
        <v>3.41680888</v>
      </c>
      <c r="I22" s="328">
        <v>4.481638142415</v>
      </c>
      <c r="J22" s="328">
        <v>4.7068767557699998</v>
      </c>
    </row>
    <row r="23" spans="1:11" ht="12" customHeight="1" thickBot="1">
      <c r="A23" s="329" t="s">
        <v>29</v>
      </c>
      <c r="B23" s="308" t="s">
        <v>23</v>
      </c>
      <c r="C23" s="351">
        <f>SUM(C19:C22)</f>
        <v>12.2</v>
      </c>
      <c r="D23" s="351">
        <f>SUM(D19:D22)</f>
        <v>12.2</v>
      </c>
      <c r="E23" s="351">
        <f>SUM(E19:E22)</f>
        <v>12.6</v>
      </c>
      <c r="F23" s="351">
        <f t="shared" ref="F23:G23" si="3">SUM(F19:F22)</f>
        <v>12.5</v>
      </c>
      <c r="G23" s="351">
        <f t="shared" si="3"/>
        <v>14.1</v>
      </c>
      <c r="H23" s="351">
        <f t="shared" ref="H23" si="4">SUM(H19:H22)</f>
        <v>13.492163660000001</v>
      </c>
      <c r="I23" s="351">
        <f t="shared" ref="I23:J23" si="5">SUM(I19:I22)</f>
        <v>16.909671806359999</v>
      </c>
      <c r="J23" s="351">
        <f t="shared" si="5"/>
        <v>16.742865434715</v>
      </c>
    </row>
    <row r="24" spans="1:11" ht="12" customHeight="1">
      <c r="A24" s="325"/>
      <c r="B24" s="6"/>
      <c r="C24" s="78"/>
      <c r="D24" s="78"/>
      <c r="E24" s="78"/>
      <c r="F24" s="6"/>
      <c r="G24" s="6"/>
      <c r="H24" s="337"/>
      <c r="I24" s="331"/>
      <c r="J24" s="337"/>
    </row>
    <row r="25" spans="1:11" ht="12" customHeight="1">
      <c r="A25" s="322" t="s">
        <v>30</v>
      </c>
      <c r="B25" s="174"/>
      <c r="C25" s="170"/>
      <c r="D25" s="170"/>
      <c r="E25" s="170"/>
      <c r="F25" s="174"/>
      <c r="G25" s="174"/>
      <c r="H25" s="169"/>
      <c r="I25" s="170"/>
      <c r="J25" s="170"/>
    </row>
    <row r="26" spans="1:11" ht="12" customHeight="1">
      <c r="A26" s="325" t="s">
        <v>22</v>
      </c>
      <c r="B26" s="334" t="s">
        <v>23</v>
      </c>
      <c r="C26" s="248">
        <v>3.7</v>
      </c>
      <c r="D26" s="248">
        <v>3.1</v>
      </c>
      <c r="E26" s="248">
        <v>3.2</v>
      </c>
      <c r="F26" s="250">
        <v>3.4</v>
      </c>
      <c r="G26" s="250">
        <v>3.3</v>
      </c>
      <c r="H26" s="250">
        <v>3.5</v>
      </c>
      <c r="I26" s="250">
        <v>3.3</v>
      </c>
      <c r="J26" s="58">
        <v>3.4</v>
      </c>
    </row>
    <row r="27" spans="1:11" ht="12" customHeight="1">
      <c r="A27" s="338" t="s">
        <v>24</v>
      </c>
      <c r="B27" s="339" t="s">
        <v>23</v>
      </c>
      <c r="C27" s="249">
        <v>0</v>
      </c>
      <c r="D27" s="249">
        <v>0</v>
      </c>
      <c r="E27" s="249">
        <v>0</v>
      </c>
      <c r="F27" s="58">
        <v>0</v>
      </c>
      <c r="G27" s="58">
        <v>0</v>
      </c>
      <c r="H27" s="58">
        <v>0</v>
      </c>
      <c r="I27" s="58">
        <v>0</v>
      </c>
      <c r="J27" s="340">
        <v>0</v>
      </c>
    </row>
    <row r="28" spans="1:11" ht="12" customHeight="1">
      <c r="A28" s="338" t="s">
        <v>25</v>
      </c>
      <c r="B28" s="339" t="s">
        <v>23</v>
      </c>
      <c r="C28" s="352">
        <v>0</v>
      </c>
      <c r="D28" s="352">
        <v>0</v>
      </c>
      <c r="E28" s="352">
        <v>0</v>
      </c>
      <c r="F28" s="340">
        <v>0</v>
      </c>
      <c r="G28" s="340">
        <v>0</v>
      </c>
      <c r="H28" s="340">
        <v>0</v>
      </c>
      <c r="I28" s="340">
        <v>0</v>
      </c>
      <c r="J28" s="340">
        <v>0</v>
      </c>
    </row>
    <row r="29" spans="1:11" ht="12" customHeight="1">
      <c r="A29" s="341" t="s">
        <v>26</v>
      </c>
      <c r="B29" s="342" t="s">
        <v>23</v>
      </c>
      <c r="C29" s="353">
        <v>0</v>
      </c>
      <c r="D29" s="353">
        <v>0</v>
      </c>
      <c r="E29" s="353">
        <v>0</v>
      </c>
      <c r="F29" s="343">
        <v>0</v>
      </c>
      <c r="G29" s="343">
        <v>0</v>
      </c>
      <c r="H29" s="343">
        <v>0</v>
      </c>
      <c r="I29" s="343">
        <v>0</v>
      </c>
      <c r="J29" s="343">
        <v>0</v>
      </c>
    </row>
    <row r="30" spans="1:11" ht="12" customHeight="1" thickBot="1">
      <c r="A30" s="344" t="s">
        <v>27</v>
      </c>
      <c r="B30" s="308" t="s">
        <v>23</v>
      </c>
      <c r="C30" s="354">
        <f>SUM(C26:C29)</f>
        <v>3.7</v>
      </c>
      <c r="D30" s="354">
        <f>SUM(D26:D29)</f>
        <v>3.1</v>
      </c>
      <c r="E30" s="354">
        <f>SUM(E26:E29)</f>
        <v>3.2</v>
      </c>
      <c r="F30" s="354">
        <f t="shared" ref="F30:J30" si="6">SUM(F26:F29)</f>
        <v>3.4</v>
      </c>
      <c r="G30" s="354">
        <f t="shared" si="6"/>
        <v>3.3</v>
      </c>
      <c r="H30" s="354">
        <f t="shared" si="6"/>
        <v>3.5</v>
      </c>
      <c r="I30" s="354">
        <f t="shared" si="6"/>
        <v>3.3</v>
      </c>
      <c r="J30" s="354">
        <f t="shared" si="6"/>
        <v>3.4</v>
      </c>
    </row>
    <row r="31" spans="1:11" ht="12" customHeight="1">
      <c r="A31" s="325"/>
      <c r="B31" s="6"/>
      <c r="C31" s="78"/>
      <c r="D31" s="78"/>
      <c r="E31" s="78"/>
      <c r="F31" s="6"/>
      <c r="G31" s="6"/>
      <c r="H31" s="337"/>
      <c r="I31" s="337"/>
      <c r="J31" s="337"/>
    </row>
    <row r="32" spans="1:11" ht="12" customHeight="1">
      <c r="A32" s="277" t="s">
        <v>31</v>
      </c>
      <c r="B32" s="174"/>
      <c r="C32" s="170"/>
      <c r="D32" s="170"/>
      <c r="E32" s="170"/>
      <c r="F32" s="174"/>
      <c r="G32" s="174"/>
      <c r="H32" s="169"/>
      <c r="I32" s="170"/>
      <c r="J32" s="170"/>
    </row>
    <row r="33" spans="1:10" ht="12" customHeight="1">
      <c r="A33" s="323" t="s">
        <v>22</v>
      </c>
      <c r="B33" s="21" t="s">
        <v>23</v>
      </c>
      <c r="C33" s="84">
        <v>267</v>
      </c>
      <c r="D33" s="84">
        <v>275</v>
      </c>
      <c r="E33" s="84">
        <v>290</v>
      </c>
      <c r="F33" s="84">
        <v>254</v>
      </c>
      <c r="G33" s="84">
        <v>266</v>
      </c>
      <c r="H33" s="345">
        <v>280</v>
      </c>
      <c r="I33" s="345">
        <v>295</v>
      </c>
      <c r="J33" s="345">
        <v>311</v>
      </c>
    </row>
    <row r="34" spans="1:10" ht="12" customHeight="1">
      <c r="A34" s="325" t="s">
        <v>26</v>
      </c>
      <c r="B34" s="6" t="s">
        <v>23</v>
      </c>
      <c r="C34" s="78">
        <v>161</v>
      </c>
      <c r="D34" s="78">
        <v>169</v>
      </c>
      <c r="E34" s="78">
        <v>154</v>
      </c>
      <c r="F34" s="78">
        <v>154</v>
      </c>
      <c r="G34" s="78">
        <v>160</v>
      </c>
      <c r="H34" s="337">
        <v>163</v>
      </c>
      <c r="I34" s="337">
        <v>171</v>
      </c>
      <c r="J34" s="337">
        <v>177</v>
      </c>
    </row>
    <row r="35" spans="1:10" ht="12" customHeight="1">
      <c r="A35" s="326" t="s">
        <v>25</v>
      </c>
      <c r="B35" s="22" t="s">
        <v>23</v>
      </c>
      <c r="C35" s="81">
        <v>94</v>
      </c>
      <c r="D35" s="81">
        <v>99</v>
      </c>
      <c r="E35" s="81">
        <v>135</v>
      </c>
      <c r="F35" s="81">
        <v>138</v>
      </c>
      <c r="G35" s="81">
        <v>137</v>
      </c>
      <c r="H35" s="346">
        <v>141</v>
      </c>
      <c r="I35" s="346">
        <v>145</v>
      </c>
      <c r="J35" s="346">
        <v>155</v>
      </c>
    </row>
    <row r="36" spans="1:10" ht="12" customHeight="1">
      <c r="A36" s="338" t="s">
        <v>24</v>
      </c>
      <c r="B36" s="22" t="s">
        <v>23</v>
      </c>
      <c r="C36" s="81">
        <v>0</v>
      </c>
      <c r="D36" s="81">
        <v>0</v>
      </c>
      <c r="E36" s="81">
        <v>12</v>
      </c>
      <c r="F36" s="81">
        <v>12</v>
      </c>
      <c r="G36" s="81">
        <v>12</v>
      </c>
      <c r="H36" s="346">
        <v>12</v>
      </c>
      <c r="I36" s="346">
        <v>44</v>
      </c>
      <c r="J36" s="346">
        <v>60</v>
      </c>
    </row>
    <row r="37" spans="1:10" ht="12" customHeight="1">
      <c r="A37" s="338" t="s">
        <v>32</v>
      </c>
      <c r="B37" s="22" t="s">
        <v>23</v>
      </c>
      <c r="C37" s="81">
        <v>197</v>
      </c>
      <c r="D37" s="81">
        <v>197</v>
      </c>
      <c r="E37" s="81">
        <v>197</v>
      </c>
      <c r="F37" s="81">
        <v>197</v>
      </c>
      <c r="G37" s="81">
        <v>197</v>
      </c>
      <c r="H37" s="346">
        <v>197</v>
      </c>
      <c r="I37" s="346">
        <v>201</v>
      </c>
      <c r="J37" s="20" t="s">
        <v>33</v>
      </c>
    </row>
    <row r="38" spans="1:10" ht="12" customHeight="1">
      <c r="A38" s="338" t="s">
        <v>34</v>
      </c>
      <c r="B38" s="22" t="s">
        <v>23</v>
      </c>
      <c r="C38" s="78">
        <v>0</v>
      </c>
      <c r="D38" s="78">
        <v>50</v>
      </c>
      <c r="E38" s="78">
        <v>50</v>
      </c>
      <c r="F38" s="78">
        <v>50</v>
      </c>
      <c r="G38" s="78">
        <v>50</v>
      </c>
      <c r="H38" s="337">
        <f>121+50</f>
        <v>171</v>
      </c>
      <c r="I38" s="337">
        <v>176</v>
      </c>
      <c r="J38" s="5" t="s">
        <v>33</v>
      </c>
    </row>
    <row r="39" spans="1:10" ht="12" customHeight="1" thickBot="1">
      <c r="A39" s="329" t="s">
        <v>35</v>
      </c>
      <c r="B39" s="12" t="s">
        <v>23</v>
      </c>
      <c r="C39" s="80">
        <f>SUM(C33:C38)</f>
        <v>719</v>
      </c>
      <c r="D39" s="80">
        <f t="shared" ref="D39" si="7">SUM(D33:D38)</f>
        <v>790</v>
      </c>
      <c r="E39" s="80">
        <f t="shared" ref="E39:I39" si="8">SUM(E33:E38)</f>
        <v>838</v>
      </c>
      <c r="F39" s="80">
        <f t="shared" si="8"/>
        <v>805</v>
      </c>
      <c r="G39" s="80">
        <f t="shared" si="8"/>
        <v>822</v>
      </c>
      <c r="H39" s="347">
        <f t="shared" si="8"/>
        <v>964</v>
      </c>
      <c r="I39" s="347">
        <f t="shared" si="8"/>
        <v>1032</v>
      </c>
      <c r="J39" s="347">
        <f>SUM(J33:J37)</f>
        <v>703</v>
      </c>
    </row>
    <row r="40" spans="1:10" ht="12" customHeight="1">
      <c r="A40" s="325"/>
      <c r="B40" s="6"/>
      <c r="C40" s="78"/>
      <c r="D40" s="78"/>
      <c r="E40" s="78"/>
      <c r="F40" s="6"/>
      <c r="G40" s="78"/>
      <c r="H40" s="337"/>
      <c r="I40" s="337"/>
      <c r="J40" s="337"/>
    </row>
    <row r="41" spans="1:10" ht="12" customHeight="1">
      <c r="A41" s="322" t="s">
        <v>36</v>
      </c>
      <c r="B41" s="174"/>
      <c r="C41" s="170"/>
      <c r="D41" s="170"/>
      <c r="E41" s="170"/>
      <c r="F41" s="174"/>
      <c r="G41" s="170"/>
      <c r="H41" s="169"/>
      <c r="I41" s="170"/>
      <c r="J41" s="170"/>
    </row>
    <row r="42" spans="1:10" ht="12" customHeight="1">
      <c r="A42" s="323" t="s">
        <v>22</v>
      </c>
      <c r="B42" s="21" t="s">
        <v>23</v>
      </c>
      <c r="C42" s="84">
        <v>919</v>
      </c>
      <c r="D42" s="84">
        <v>924</v>
      </c>
      <c r="E42" s="84">
        <v>936</v>
      </c>
      <c r="F42" s="84">
        <v>925</v>
      </c>
      <c r="G42" s="84">
        <v>937</v>
      </c>
      <c r="H42" s="345">
        <v>1017</v>
      </c>
      <c r="I42" s="345">
        <v>936</v>
      </c>
      <c r="J42" s="345">
        <v>957</v>
      </c>
    </row>
    <row r="43" spans="1:10" ht="12" customHeight="1">
      <c r="A43" s="325" t="s">
        <v>26</v>
      </c>
      <c r="B43" s="6" t="s">
        <v>23</v>
      </c>
      <c r="C43" s="78">
        <v>180</v>
      </c>
      <c r="D43" s="78">
        <v>190</v>
      </c>
      <c r="E43" s="78">
        <v>203</v>
      </c>
      <c r="F43" s="78">
        <v>208</v>
      </c>
      <c r="G43" s="78">
        <v>190</v>
      </c>
      <c r="H43" s="337">
        <v>196</v>
      </c>
      <c r="I43" s="337">
        <v>240</v>
      </c>
      <c r="J43" s="337">
        <v>251</v>
      </c>
    </row>
    <row r="44" spans="1:10" ht="12" customHeight="1">
      <c r="A44" s="326" t="s">
        <v>25</v>
      </c>
      <c r="B44" s="22" t="s">
        <v>23</v>
      </c>
      <c r="C44" s="81">
        <v>220</v>
      </c>
      <c r="D44" s="81">
        <v>232</v>
      </c>
      <c r="E44" s="81">
        <v>248</v>
      </c>
      <c r="F44" s="81">
        <v>253</v>
      </c>
      <c r="G44" s="81">
        <v>264</v>
      </c>
      <c r="H44" s="346">
        <v>265</v>
      </c>
      <c r="I44" s="346">
        <v>248</v>
      </c>
      <c r="J44" s="346">
        <v>220</v>
      </c>
    </row>
    <row r="45" spans="1:10" ht="12" customHeight="1">
      <c r="A45" s="326" t="s">
        <v>24</v>
      </c>
      <c r="B45" s="22" t="s">
        <v>23</v>
      </c>
      <c r="C45" s="81">
        <v>0</v>
      </c>
      <c r="D45" s="81">
        <v>0</v>
      </c>
      <c r="E45" s="81">
        <v>55</v>
      </c>
      <c r="F45" s="81">
        <v>55</v>
      </c>
      <c r="G45" s="81">
        <v>55</v>
      </c>
      <c r="H45" s="346">
        <v>55</v>
      </c>
      <c r="I45" s="346">
        <v>85</v>
      </c>
      <c r="J45" s="346">
        <v>90</v>
      </c>
    </row>
    <row r="46" spans="1:10" ht="12" customHeight="1">
      <c r="A46" s="338" t="s">
        <v>32</v>
      </c>
      <c r="B46" s="22" t="s">
        <v>23</v>
      </c>
      <c r="C46" s="81">
        <v>514</v>
      </c>
      <c r="D46" s="81">
        <v>514</v>
      </c>
      <c r="E46" s="81">
        <v>514</v>
      </c>
      <c r="F46" s="81">
        <v>514</v>
      </c>
      <c r="G46" s="81">
        <v>514</v>
      </c>
      <c r="H46" s="346">
        <v>514</v>
      </c>
      <c r="I46" s="346">
        <v>493</v>
      </c>
      <c r="J46" s="20"/>
    </row>
    <row r="47" spans="1:10" ht="12" customHeight="1">
      <c r="A47" s="338" t="s">
        <v>34</v>
      </c>
      <c r="B47" s="22" t="s">
        <v>23</v>
      </c>
      <c r="C47" s="78">
        <v>0</v>
      </c>
      <c r="D47" s="78">
        <v>159</v>
      </c>
      <c r="E47" s="78">
        <v>159</v>
      </c>
      <c r="F47" s="78">
        <v>159</v>
      </c>
      <c r="G47" s="78">
        <v>159</v>
      </c>
      <c r="H47" s="337">
        <f>344+159</f>
        <v>503</v>
      </c>
      <c r="I47" s="337">
        <v>495</v>
      </c>
      <c r="J47" s="5"/>
    </row>
    <row r="48" spans="1:10" ht="12" customHeight="1" thickBot="1">
      <c r="A48" s="329" t="s">
        <v>35</v>
      </c>
      <c r="B48" s="12" t="s">
        <v>23</v>
      </c>
      <c r="C48" s="394">
        <f>SUM(C42:C47)</f>
        <v>1833</v>
      </c>
      <c r="D48" s="394">
        <f t="shared" ref="D48:H48" si="9">SUM(D42:D47)</f>
        <v>2019</v>
      </c>
      <c r="E48" s="394">
        <f t="shared" si="9"/>
        <v>2115</v>
      </c>
      <c r="F48" s="394">
        <f t="shared" si="9"/>
        <v>2114</v>
      </c>
      <c r="G48" s="394">
        <f t="shared" si="9"/>
        <v>2119</v>
      </c>
      <c r="H48" s="347">
        <f t="shared" si="9"/>
        <v>2550</v>
      </c>
      <c r="I48" s="347">
        <f t="shared" ref="I48:J48" si="10">SUM(I42:I47)</f>
        <v>2497</v>
      </c>
      <c r="J48" s="347">
        <f t="shared" si="10"/>
        <v>1518</v>
      </c>
    </row>
    <row r="50" spans="1:13" customFormat="1" ht="12" customHeight="1">
      <c r="A50" s="156" t="s">
        <v>37</v>
      </c>
      <c r="B50" s="157"/>
      <c r="C50" s="157"/>
      <c r="D50" s="157"/>
      <c r="E50" s="157"/>
      <c r="F50" s="157"/>
      <c r="G50" s="158"/>
      <c r="H50" s="159"/>
      <c r="I50" s="159"/>
      <c r="J50" s="159"/>
      <c r="K50" s="88"/>
      <c r="L50" s="88"/>
      <c r="M50" s="88"/>
    </row>
    <row r="51" spans="1:13" ht="12" customHeight="1">
      <c r="A51" s="556" t="s">
        <v>38</v>
      </c>
    </row>
    <row r="52" spans="1:13" ht="12" customHeight="1">
      <c r="A52" s="556" t="s">
        <v>39</v>
      </c>
    </row>
  </sheetData>
  <sheetProtection algorithmName="SHA-512" hashValue="lev0KQkjgU9FISlSGrkbqmXpUobqWuVCMsBjg0vLpqhfZpELxQsKa+j0VASZgJ6ZsBMqtzbouBPY93lXDozdFA==" saltValue="naejyePluVSczpADiTytJA==" spinCount="100000" sheet="1" objects="1" scenarios="1" selectLockedCells="1" selectUnlockedCells="1"/>
  <pageMargins left="0.7" right="0.7" top="0.75" bottom="0.75" header="0.3" footer="0.3"/>
  <pageSetup scale="65" orientation="landscape"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48"/>
  <sheetViews>
    <sheetView zoomScale="115" zoomScaleNormal="115" workbookViewId="0"/>
  </sheetViews>
  <sheetFormatPr defaultRowHeight="12" customHeight="1"/>
  <cols>
    <col min="1" max="1" width="45.42578125" customWidth="1"/>
    <col min="2" max="2" width="10" bestFit="1" customWidth="1"/>
    <col min="3" max="3" width="10" customWidth="1"/>
    <col min="4" max="6" width="9.7109375" customWidth="1"/>
    <col min="7" max="7" width="11.28515625" customWidth="1"/>
    <col min="8" max="8" width="11.85546875" customWidth="1"/>
    <col min="9" max="9" width="13" customWidth="1"/>
    <col min="10" max="10" width="9.5703125" bestFit="1" customWidth="1"/>
    <col min="11" max="11" width="37.42578125" hidden="1" customWidth="1"/>
    <col min="12" max="12" width="12.140625" hidden="1" customWidth="1"/>
    <col min="13" max="13" width="16.7109375" hidden="1" customWidth="1"/>
    <col min="14" max="18" width="9.140625" hidden="1" customWidth="1"/>
    <col min="19" max="19" width="14" hidden="1" customWidth="1"/>
    <col min="21" max="21" width="13.5703125" bestFit="1" customWidth="1"/>
  </cols>
  <sheetData>
    <row r="1" spans="1:24" ht="23.25">
      <c r="A1" s="167" t="s">
        <v>40</v>
      </c>
      <c r="B1" s="210"/>
      <c r="C1" s="210"/>
      <c r="D1" s="168"/>
      <c r="E1" s="178"/>
      <c r="F1" s="178"/>
      <c r="G1" s="179"/>
      <c r="H1" s="179"/>
      <c r="I1" s="179"/>
      <c r="J1" s="179"/>
    </row>
    <row r="2" spans="1:24" ht="12" customHeight="1">
      <c r="A2" s="121"/>
      <c r="B2" s="121"/>
      <c r="C2" s="121"/>
      <c r="D2" s="121"/>
      <c r="E2" s="121"/>
      <c r="F2" s="121"/>
    </row>
    <row r="3" spans="1:24" ht="12" customHeight="1">
      <c r="A3" s="180" t="s">
        <v>19</v>
      </c>
      <c r="B3" s="187" t="s">
        <v>20</v>
      </c>
      <c r="C3" s="187">
        <v>2025</v>
      </c>
      <c r="D3" s="187">
        <v>2024</v>
      </c>
      <c r="E3" s="182">
        <v>2023</v>
      </c>
      <c r="F3" s="182">
        <v>2022</v>
      </c>
      <c r="G3" s="182">
        <v>2021</v>
      </c>
      <c r="H3" s="182">
        <v>2020</v>
      </c>
      <c r="I3" s="182">
        <v>2019</v>
      </c>
      <c r="J3" s="182">
        <v>2018</v>
      </c>
      <c r="L3" s="92"/>
      <c r="M3" s="92"/>
    </row>
    <row r="4" spans="1:24" ht="12" customHeight="1">
      <c r="A4" s="177" t="s">
        <v>41</v>
      </c>
      <c r="B4" s="186"/>
      <c r="C4" s="186"/>
      <c r="D4" s="186"/>
      <c r="E4" s="192"/>
      <c r="F4" s="192"/>
      <c r="G4" s="192"/>
      <c r="H4" s="186"/>
      <c r="I4" s="186"/>
      <c r="J4" s="186"/>
      <c r="K4" s="92"/>
      <c r="L4" s="107"/>
      <c r="M4" s="161"/>
      <c r="N4" s="380">
        <f>+F6/9800000</f>
        <v>8.7880306122448973E-2</v>
      </c>
      <c r="O4" s="380">
        <f>+G6/11100000</f>
        <v>8.2317837837837832E-2</v>
      </c>
    </row>
    <row r="5" spans="1:24" ht="12" customHeight="1">
      <c r="A5" s="160" t="s">
        <v>42</v>
      </c>
      <c r="B5" s="161" t="s">
        <v>43</v>
      </c>
      <c r="C5" s="161"/>
      <c r="D5" s="161"/>
      <c r="E5" s="162"/>
      <c r="F5" s="162"/>
      <c r="G5" s="162"/>
      <c r="H5" s="100"/>
      <c r="I5" s="100"/>
      <c r="J5" s="100"/>
      <c r="K5" s="92"/>
      <c r="L5" s="107"/>
      <c r="M5" s="126"/>
      <c r="N5" s="379">
        <f>+F7/6100000</f>
        <v>0.20506655737704918</v>
      </c>
      <c r="O5" s="379">
        <f>+G7/6300000</f>
        <v>0.23235492063492064</v>
      </c>
    </row>
    <row r="6" spans="1:24" ht="12" customHeight="1">
      <c r="A6" s="96" t="s">
        <v>44</v>
      </c>
      <c r="B6" s="129" t="s">
        <v>45</v>
      </c>
      <c r="C6" s="111">
        <v>1145280</v>
      </c>
      <c r="D6" s="111">
        <v>909444</v>
      </c>
      <c r="E6" s="111">
        <v>1142716</v>
      </c>
      <c r="F6" s="111">
        <v>861227</v>
      </c>
      <c r="G6" s="111">
        <v>913728</v>
      </c>
      <c r="H6" s="111">
        <v>614990</v>
      </c>
      <c r="I6" s="111">
        <v>563919</v>
      </c>
      <c r="J6" s="111">
        <v>580774</v>
      </c>
      <c r="K6" s="92"/>
      <c r="L6" s="85"/>
      <c r="M6" s="92"/>
      <c r="N6" s="379"/>
      <c r="O6" s="381"/>
      <c r="T6" s="278"/>
      <c r="U6" s="564"/>
    </row>
    <row r="7" spans="1:24" ht="12" customHeight="1">
      <c r="A7" s="96" t="s">
        <v>46</v>
      </c>
      <c r="B7" s="126" t="s">
        <v>45</v>
      </c>
      <c r="C7" s="95">
        <v>1068633</v>
      </c>
      <c r="D7" s="95">
        <v>1168230</v>
      </c>
      <c r="E7" s="95">
        <v>1199697</v>
      </c>
      <c r="F7" s="95">
        <v>1250906</v>
      </c>
      <c r="G7" s="95">
        <v>1463836</v>
      </c>
      <c r="H7" s="111">
        <v>1842001</v>
      </c>
      <c r="I7" s="111">
        <v>2124996</v>
      </c>
      <c r="J7" s="111">
        <v>2024715</v>
      </c>
      <c r="K7" s="93"/>
      <c r="L7" s="391" t="s">
        <v>47</v>
      </c>
      <c r="M7" s="92"/>
      <c r="N7" s="380">
        <f>+F9/9800000</f>
        <v>1.7825918367346937E-2</v>
      </c>
      <c r="O7" s="380">
        <f>+G9/11100000</f>
        <v>1.8869369369369369E-2</v>
      </c>
      <c r="T7" s="278"/>
      <c r="U7" s="585"/>
    </row>
    <row r="8" spans="1:24" ht="12" customHeight="1">
      <c r="A8" s="109" t="s">
        <v>48</v>
      </c>
      <c r="B8" s="136" t="s">
        <v>43</v>
      </c>
      <c r="C8" s="163"/>
      <c r="D8" s="163"/>
      <c r="E8" s="163"/>
      <c r="F8" s="163"/>
      <c r="G8" s="163"/>
      <c r="H8" s="163"/>
      <c r="I8" s="163"/>
      <c r="J8" s="163"/>
      <c r="K8" s="92"/>
      <c r="L8" s="384" t="s">
        <v>49</v>
      </c>
      <c r="M8" s="92"/>
      <c r="N8" s="379">
        <f>+F10/6100000</f>
        <v>2.5752131147540984E-2</v>
      </c>
      <c r="O8" s="379">
        <f>+G10/6300000</f>
        <v>2.7239523809523811E-2</v>
      </c>
      <c r="U8" s="585"/>
    </row>
    <row r="9" spans="1:24" ht="12" customHeight="1">
      <c r="A9" s="93" t="s">
        <v>50</v>
      </c>
      <c r="B9" s="126" t="s">
        <v>45</v>
      </c>
      <c r="C9" s="111">
        <v>166120.43359999999</v>
      </c>
      <c r="D9" s="111">
        <v>169352</v>
      </c>
      <c r="E9" s="111">
        <v>168648</v>
      </c>
      <c r="F9" s="111">
        <v>174694</v>
      </c>
      <c r="G9" s="111">
        <v>209450</v>
      </c>
      <c r="H9" s="111">
        <v>206230</v>
      </c>
      <c r="I9" s="111">
        <v>212942</v>
      </c>
      <c r="J9" s="111">
        <v>203611</v>
      </c>
      <c r="K9" s="92"/>
      <c r="L9" s="92" t="s">
        <v>51</v>
      </c>
      <c r="M9" s="92"/>
      <c r="N9" s="276"/>
      <c r="O9" s="276"/>
    </row>
    <row r="10" spans="1:24" ht="12" customHeight="1">
      <c r="A10" s="96" t="s">
        <v>46</v>
      </c>
      <c r="B10" s="129" t="s">
        <v>45</v>
      </c>
      <c r="C10" s="95">
        <v>146157</v>
      </c>
      <c r="D10" s="95">
        <v>142475</v>
      </c>
      <c r="E10" s="95">
        <v>157983</v>
      </c>
      <c r="F10" s="95">
        <v>157088</v>
      </c>
      <c r="G10" s="95">
        <v>171609</v>
      </c>
      <c r="H10" s="95">
        <v>166667</v>
      </c>
      <c r="I10" s="95">
        <v>197009</v>
      </c>
      <c r="J10" s="95">
        <v>198770</v>
      </c>
      <c r="K10" s="92"/>
      <c r="L10" s="92"/>
      <c r="M10" s="92"/>
      <c r="N10" s="301">
        <f>+N4+N7</f>
        <v>0.10570622448979591</v>
      </c>
      <c r="O10" s="301">
        <f>+O4+O7</f>
        <v>0.1011872072072072</v>
      </c>
      <c r="U10" s="619"/>
    </row>
    <row r="11" spans="1:24" ht="12" customHeight="1" thickBot="1">
      <c r="A11" s="98" t="s">
        <v>52</v>
      </c>
      <c r="B11" s="130" t="s">
        <v>53</v>
      </c>
      <c r="C11" s="283">
        <f>SUM(C6:C10)/1000000</f>
        <v>2.5261904336000001</v>
      </c>
      <c r="D11" s="283">
        <f>SUM(D6:D10)/1000000</f>
        <v>2.3895010000000001</v>
      </c>
      <c r="E11" s="283">
        <f>SUM(E6:E10)/1000000</f>
        <v>2.669044</v>
      </c>
      <c r="F11" s="283">
        <f>SUM(F6:F10)/1000000</f>
        <v>2.4439150000000001</v>
      </c>
      <c r="G11" s="139">
        <v>2.76</v>
      </c>
      <c r="H11" s="139">
        <v>2.83</v>
      </c>
      <c r="I11" s="283">
        <v>3.1</v>
      </c>
      <c r="J11" s="139">
        <v>3.02</v>
      </c>
      <c r="K11" s="92"/>
      <c r="L11" s="388"/>
      <c r="M11" s="92"/>
      <c r="N11" s="382">
        <f>SUM(N5,N8)</f>
        <v>0.23081868852459017</v>
      </c>
      <c r="O11" s="379">
        <f>SUM(O5,O8)</f>
        <v>0.25959444444444446</v>
      </c>
      <c r="P11" s="92">
        <f t="shared" ref="P11" si="0">+P4+P7</f>
        <v>0</v>
      </c>
      <c r="T11" s="569"/>
      <c r="U11" s="567"/>
    </row>
    <row r="12" spans="1:24" ht="12" customHeight="1">
      <c r="B12" s="161"/>
      <c r="C12" s="568"/>
      <c r="D12" s="568"/>
      <c r="E12" s="568"/>
      <c r="F12" s="568"/>
      <c r="G12" s="568"/>
      <c r="H12" s="568"/>
      <c r="I12" s="561"/>
      <c r="J12" s="94"/>
      <c r="K12" s="92"/>
      <c r="L12" s="388"/>
      <c r="U12" s="278"/>
    </row>
    <row r="13" spans="1:24" ht="12" customHeight="1">
      <c r="A13" s="107" t="s">
        <v>54</v>
      </c>
      <c r="B13" s="145" t="s">
        <v>55</v>
      </c>
      <c r="C13" s="100"/>
      <c r="D13" s="100"/>
      <c r="E13" s="100"/>
      <c r="F13" s="100"/>
      <c r="G13" s="100"/>
      <c r="H13" s="94"/>
      <c r="I13" s="94"/>
      <c r="J13" s="94"/>
      <c r="K13" s="92"/>
      <c r="M13" s="107" t="s">
        <v>56</v>
      </c>
      <c r="N13" s="145" t="s">
        <v>55</v>
      </c>
      <c r="O13" s="100" t="s">
        <v>57</v>
      </c>
      <c r="P13" s="100"/>
      <c r="Q13" s="100"/>
      <c r="R13" s="94"/>
      <c r="S13" s="94"/>
    </row>
    <row r="14" spans="1:24" ht="12" customHeight="1">
      <c r="A14" s="96" t="s">
        <v>58</v>
      </c>
      <c r="B14" s="129" t="s">
        <v>59</v>
      </c>
      <c r="C14" s="542">
        <f>((C6+C9)/1000000)/13.4</f>
        <v>9.7865703999999998E-2</v>
      </c>
      <c r="D14" s="542">
        <f>((D6+D9)/1000000)/12.9</f>
        <v>8.3627596899224804E-2</v>
      </c>
      <c r="E14" s="303">
        <v>0.10028411298201781</v>
      </c>
      <c r="F14" s="303">
        <v>8.3820021453412455E-2</v>
      </c>
      <c r="G14" s="303">
        <v>7.3759549798303334E-2</v>
      </c>
      <c r="H14" s="303">
        <v>5.7553673479934397E-2</v>
      </c>
      <c r="I14" s="303">
        <v>4.6673297346669647E-2</v>
      </c>
      <c r="J14" s="303">
        <v>5.0202617965693655E-2</v>
      </c>
      <c r="K14" s="68"/>
      <c r="L14" s="302"/>
      <c r="M14" s="96" t="s">
        <v>60</v>
      </c>
      <c r="N14" s="129" t="s">
        <v>59</v>
      </c>
      <c r="O14" s="303">
        <f>((E6+E9)/1000000)/'Our Operations'!E12</f>
        <v>0.13113639999999999</v>
      </c>
      <c r="P14" s="303">
        <f>((F6+F9)/1000000)/'Our Operations'!F12</f>
        <v>0.10570622448979591</v>
      </c>
      <c r="Q14" s="303">
        <f>((G6+G9)/1000000)/'Our Operations'!G12</f>
        <v>0.10118720720720721</v>
      </c>
      <c r="R14" s="303">
        <f>((H6+H9)/1000000)/'Our Operations'!H12</f>
        <v>6.8434999999999996E-2</v>
      </c>
      <c r="X14" s="278"/>
    </row>
    <row r="15" spans="1:24" ht="12" customHeight="1">
      <c r="A15" s="96" t="s">
        <v>61</v>
      </c>
      <c r="B15" s="129" t="s">
        <v>62</v>
      </c>
      <c r="C15" s="378">
        <f>(C7+C10)/13833392</f>
        <v>8.7815772154797606E-2</v>
      </c>
      <c r="D15" s="378">
        <v>9.4E-2</v>
      </c>
      <c r="E15" s="303">
        <v>0.10760093422302859</v>
      </c>
      <c r="F15" s="378">
        <v>0.10864459613514681</v>
      </c>
      <c r="G15" s="378">
        <v>0.12784826878634833</v>
      </c>
      <c r="H15" s="303">
        <v>0.19118005242152061</v>
      </c>
      <c r="I15" s="303">
        <v>0.16117543519281205</v>
      </c>
      <c r="J15" s="303">
        <v>0.14511932620283699</v>
      </c>
      <c r="K15" s="68"/>
      <c r="L15" s="386"/>
      <c r="M15" s="96" t="s">
        <v>63</v>
      </c>
      <c r="N15" s="129" t="s">
        <v>62</v>
      </c>
      <c r="O15" s="303">
        <v>0.25</v>
      </c>
      <c r="P15" s="378">
        <v>0.22</v>
      </c>
      <c r="Q15" s="378">
        <v>0.25900000000000001</v>
      </c>
      <c r="R15" s="303">
        <v>0.39400000000000002</v>
      </c>
    </row>
    <row r="16" spans="1:24" ht="12" customHeight="1">
      <c r="A16" s="177" t="s">
        <v>64</v>
      </c>
      <c r="B16" s="186"/>
      <c r="C16" s="192"/>
      <c r="D16" s="192"/>
      <c r="E16" s="192"/>
      <c r="F16" s="192"/>
      <c r="G16" s="192"/>
      <c r="H16" s="186"/>
      <c r="I16" s="186"/>
      <c r="J16" s="186"/>
      <c r="K16" s="68"/>
      <c r="L16" s="387"/>
      <c r="M16" s="301"/>
      <c r="N16" s="301"/>
      <c r="O16" s="301"/>
    </row>
    <row r="17" spans="1:21" ht="12" customHeight="1">
      <c r="A17" s="229" t="s">
        <v>65</v>
      </c>
      <c r="B17" s="145" t="s">
        <v>66</v>
      </c>
      <c r="C17" s="227"/>
      <c r="D17" s="227"/>
      <c r="E17" s="227"/>
      <c r="F17" s="227"/>
      <c r="G17" s="227"/>
      <c r="H17" s="226"/>
      <c r="I17" s="226"/>
      <c r="J17" s="226"/>
      <c r="K17" s="92"/>
      <c r="L17" s="388"/>
      <c r="M17" s="92"/>
    </row>
    <row r="18" spans="1:21" ht="12" customHeight="1">
      <c r="A18" s="93" t="s">
        <v>22</v>
      </c>
      <c r="B18" s="129" t="s">
        <v>66</v>
      </c>
      <c r="C18" s="111">
        <v>4716182</v>
      </c>
      <c r="D18" s="111">
        <v>5983390</v>
      </c>
      <c r="E18" s="111">
        <v>6101542</v>
      </c>
      <c r="F18" s="111">
        <v>5099177</v>
      </c>
      <c r="G18" s="111">
        <v>4900566</v>
      </c>
      <c r="H18" s="111">
        <v>4172091</v>
      </c>
      <c r="I18" s="111">
        <v>4057689</v>
      </c>
      <c r="J18" s="97" t="s">
        <v>33</v>
      </c>
      <c r="K18" s="92"/>
      <c r="L18" s="225"/>
      <c r="M18" s="225"/>
      <c r="S18" s="569"/>
    </row>
    <row r="19" spans="1:21" ht="12" customHeight="1">
      <c r="A19" s="96" t="s">
        <v>67</v>
      </c>
      <c r="B19" s="129" t="s">
        <v>66</v>
      </c>
      <c r="C19" s="111">
        <v>266713</v>
      </c>
      <c r="D19" s="111">
        <v>590985</v>
      </c>
      <c r="E19" s="111">
        <v>413609</v>
      </c>
      <c r="F19" s="111">
        <v>327871</v>
      </c>
      <c r="G19" s="111">
        <v>197622</v>
      </c>
      <c r="H19" s="111">
        <v>288209</v>
      </c>
      <c r="I19" s="111">
        <v>870095</v>
      </c>
      <c r="J19" s="111">
        <v>1079753</v>
      </c>
      <c r="K19" s="92"/>
      <c r="L19" s="225"/>
      <c r="M19" s="225"/>
      <c r="S19" s="627"/>
    </row>
    <row r="20" spans="1:21" ht="12" customHeight="1" thickBot="1">
      <c r="A20" s="98" t="s">
        <v>27</v>
      </c>
      <c r="B20" s="130" t="s">
        <v>66</v>
      </c>
      <c r="C20" s="131">
        <f>SUM(C18:C19)</f>
        <v>4982895</v>
      </c>
      <c r="D20" s="131">
        <f>SUM(D18:D19)</f>
        <v>6574375</v>
      </c>
      <c r="E20" s="131">
        <f>SUM(E18:E19)</f>
        <v>6515151</v>
      </c>
      <c r="F20" s="131">
        <f>SUM(F18:F19)</f>
        <v>5427048</v>
      </c>
      <c r="G20" s="131">
        <f>SUM(G18:G19)</f>
        <v>5098188</v>
      </c>
      <c r="H20" s="131">
        <f t="shared" ref="H20:J20" si="1">SUM(H18:H19)</f>
        <v>4460300</v>
      </c>
      <c r="I20" s="131">
        <f t="shared" si="1"/>
        <v>4927784</v>
      </c>
      <c r="J20" s="131">
        <f t="shared" si="1"/>
        <v>1079753</v>
      </c>
      <c r="K20" s="92"/>
      <c r="L20" s="92"/>
      <c r="M20" s="92"/>
      <c r="U20" s="569"/>
    </row>
    <row r="21" spans="1:21" ht="12" customHeight="1">
      <c r="A21" s="228"/>
      <c r="B21" s="145"/>
      <c r="C21" s="227"/>
      <c r="D21" s="227"/>
      <c r="E21" s="227"/>
      <c r="F21" s="227"/>
      <c r="G21" s="227"/>
      <c r="H21" s="226"/>
      <c r="I21" s="226"/>
      <c r="J21" s="226"/>
      <c r="K21" s="92"/>
      <c r="L21" s="92"/>
      <c r="M21" s="92"/>
      <c r="S21" s="627"/>
    </row>
    <row r="22" spans="1:21" ht="12" customHeight="1">
      <c r="A22" s="229" t="s">
        <v>68</v>
      </c>
      <c r="B22" s="145" t="s">
        <v>66</v>
      </c>
      <c r="C22" s="227"/>
      <c r="D22" s="227"/>
      <c r="E22" s="227"/>
      <c r="F22" s="227"/>
      <c r="G22" s="227"/>
      <c r="H22" s="226"/>
      <c r="I22" s="226"/>
      <c r="J22" s="226"/>
      <c r="K22" s="92"/>
      <c r="L22" s="92"/>
    </row>
    <row r="23" spans="1:21" ht="12" customHeight="1">
      <c r="A23" s="93" t="s">
        <v>22</v>
      </c>
      <c r="B23" s="129" t="s">
        <v>66</v>
      </c>
      <c r="C23" s="111">
        <v>0</v>
      </c>
      <c r="D23" s="111">
        <v>0</v>
      </c>
      <c r="E23" s="111">
        <v>0</v>
      </c>
      <c r="F23" s="111">
        <v>0</v>
      </c>
      <c r="G23" s="111">
        <v>0</v>
      </c>
      <c r="H23" s="111">
        <v>0</v>
      </c>
      <c r="I23" s="97">
        <v>0</v>
      </c>
      <c r="J23" s="97">
        <v>0</v>
      </c>
      <c r="K23" s="92"/>
      <c r="L23" s="92"/>
      <c r="M23" s="92"/>
      <c r="S23" s="627"/>
    </row>
    <row r="24" spans="1:21" ht="12" customHeight="1">
      <c r="A24" s="96" t="s">
        <v>67</v>
      </c>
      <c r="B24" s="129" t="s">
        <v>66</v>
      </c>
      <c r="C24" s="111">
        <v>0</v>
      </c>
      <c r="D24" s="111">
        <v>0</v>
      </c>
      <c r="E24" s="111">
        <v>0</v>
      </c>
      <c r="F24" s="111">
        <v>0</v>
      </c>
      <c r="G24" s="111">
        <v>0</v>
      </c>
      <c r="H24" s="111">
        <v>0</v>
      </c>
      <c r="I24" s="97">
        <v>0</v>
      </c>
      <c r="J24" s="97">
        <v>0</v>
      </c>
      <c r="K24" s="92"/>
      <c r="L24" s="92"/>
      <c r="M24" s="92"/>
    </row>
    <row r="25" spans="1:21" ht="12" customHeight="1" thickBot="1">
      <c r="A25" s="98" t="s">
        <v>27</v>
      </c>
      <c r="B25" s="130" t="s">
        <v>66</v>
      </c>
      <c r="C25" s="131">
        <f>SUM(C23:C24)</f>
        <v>0</v>
      </c>
      <c r="D25" s="131">
        <f>SUM(D23:D24)</f>
        <v>0</v>
      </c>
      <c r="E25" s="131">
        <f>SUM(E23:E24)</f>
        <v>0</v>
      </c>
      <c r="F25" s="131">
        <f>SUM(F23:F24)</f>
        <v>0</v>
      </c>
      <c r="G25" s="131">
        <f>SUM(G23:G24)</f>
        <v>0</v>
      </c>
      <c r="H25" s="131">
        <f t="shared" ref="H25:J25" si="2">SUM(H23:H24)</f>
        <v>0</v>
      </c>
      <c r="I25" s="131">
        <f t="shared" si="2"/>
        <v>0</v>
      </c>
      <c r="J25" s="131">
        <f t="shared" si="2"/>
        <v>0</v>
      </c>
      <c r="K25" s="92"/>
      <c r="L25" s="92"/>
      <c r="M25" s="92"/>
    </row>
    <row r="26" spans="1:21" ht="12" customHeight="1">
      <c r="A26" s="228"/>
      <c r="B26" s="145"/>
      <c r="C26" s="227"/>
      <c r="D26" s="227"/>
      <c r="E26" s="227"/>
      <c r="F26" s="227"/>
      <c r="G26" s="227"/>
      <c r="H26" s="226"/>
      <c r="I26" s="226"/>
      <c r="J26" s="226"/>
      <c r="K26" s="92"/>
      <c r="L26" s="92"/>
      <c r="M26" s="92"/>
    </row>
    <row r="27" spans="1:21" ht="12" customHeight="1">
      <c r="A27" s="107" t="s">
        <v>69</v>
      </c>
      <c r="B27" s="145" t="s">
        <v>66</v>
      </c>
      <c r="C27" s="100"/>
      <c r="D27" s="100"/>
      <c r="E27" s="100"/>
      <c r="F27" s="100"/>
      <c r="G27" s="100"/>
      <c r="H27" s="94"/>
      <c r="I27" s="94"/>
      <c r="J27" s="94"/>
      <c r="K27" s="92"/>
      <c r="L27" s="92"/>
      <c r="M27" s="92"/>
    </row>
    <row r="28" spans="1:21" ht="12" customHeight="1">
      <c r="A28" s="96" t="s">
        <v>50</v>
      </c>
      <c r="B28" s="129" t="s">
        <v>66</v>
      </c>
      <c r="C28" s="111">
        <v>5584381</v>
      </c>
      <c r="D28" s="111">
        <v>6829882</v>
      </c>
      <c r="E28" s="111">
        <v>6933231</v>
      </c>
      <c r="F28" s="111">
        <v>5885300</v>
      </c>
      <c r="G28" s="111">
        <v>5831455</v>
      </c>
      <c r="H28" s="111">
        <v>5088668</v>
      </c>
      <c r="I28" s="97" t="s">
        <v>33</v>
      </c>
      <c r="J28" s="97" t="s">
        <v>33</v>
      </c>
      <c r="K28" s="92"/>
      <c r="L28" s="92"/>
      <c r="M28" s="396">
        <f>9315655/173448253</f>
        <v>5.3708554792996389E-2</v>
      </c>
    </row>
    <row r="29" spans="1:21" ht="12" customHeight="1">
      <c r="A29" s="96" t="s">
        <v>70</v>
      </c>
      <c r="B29" s="129" t="s">
        <v>66</v>
      </c>
      <c r="C29" s="111">
        <v>1533173</v>
      </c>
      <c r="D29" s="111">
        <v>1825540</v>
      </c>
      <c r="E29" s="111">
        <v>1604751</v>
      </c>
      <c r="F29" s="111">
        <v>1574435</v>
      </c>
      <c r="G29" s="111">
        <v>1465363</v>
      </c>
      <c r="H29" s="111">
        <v>1414851</v>
      </c>
      <c r="I29" s="97" t="s">
        <v>33</v>
      </c>
      <c r="J29" s="97" t="s">
        <v>33</v>
      </c>
      <c r="K29" s="92"/>
      <c r="L29" s="92"/>
      <c r="M29" s="92"/>
    </row>
    <row r="30" spans="1:21" ht="12" customHeight="1" thickBot="1">
      <c r="A30" s="98" t="s">
        <v>27</v>
      </c>
      <c r="B30" s="130" t="s">
        <v>66</v>
      </c>
      <c r="C30" s="131">
        <f t="shared" ref="C30:H30" si="3">SUM(C28:C29)</f>
        <v>7117554</v>
      </c>
      <c r="D30" s="131">
        <f t="shared" si="3"/>
        <v>8655422</v>
      </c>
      <c r="E30" s="131">
        <f t="shared" si="3"/>
        <v>8537982</v>
      </c>
      <c r="F30" s="131">
        <f t="shared" si="3"/>
        <v>7459735</v>
      </c>
      <c r="G30" s="131">
        <f t="shared" si="3"/>
        <v>7296818</v>
      </c>
      <c r="H30" s="131">
        <f t="shared" si="3"/>
        <v>6503519</v>
      </c>
      <c r="I30" s="101" t="s">
        <v>33</v>
      </c>
      <c r="J30" s="101" t="s">
        <v>33</v>
      </c>
      <c r="K30" s="92"/>
      <c r="L30" s="92"/>
      <c r="M30" s="92"/>
    </row>
    <row r="31" spans="1:21" ht="12" customHeight="1">
      <c r="A31" s="93"/>
      <c r="B31" s="126"/>
      <c r="C31" s="94"/>
      <c r="D31" s="94"/>
      <c r="E31" s="94"/>
      <c r="F31" s="94"/>
      <c r="G31" s="94"/>
      <c r="H31" s="147"/>
      <c r="I31" s="94"/>
      <c r="J31" s="94"/>
      <c r="K31" s="92"/>
      <c r="L31" s="92"/>
      <c r="M31" s="92"/>
    </row>
    <row r="32" spans="1:21" ht="12" customHeight="1">
      <c r="A32" s="154" t="s">
        <v>71</v>
      </c>
      <c r="B32" s="155" t="s">
        <v>66</v>
      </c>
      <c r="C32" s="164"/>
      <c r="D32" s="164"/>
      <c r="E32" s="164"/>
      <c r="F32" s="164"/>
      <c r="G32" s="164"/>
      <c r="H32" s="103"/>
      <c r="I32" s="103"/>
      <c r="J32" s="103"/>
      <c r="K32" s="92"/>
      <c r="L32" s="92"/>
      <c r="M32" s="92"/>
    </row>
    <row r="33" spans="1:13" ht="12" customHeight="1">
      <c r="A33" s="93" t="s">
        <v>22</v>
      </c>
      <c r="B33" s="165" t="s">
        <v>66</v>
      </c>
      <c r="C33" s="127">
        <v>207389550</v>
      </c>
      <c r="D33" s="127">
        <v>209875290</v>
      </c>
      <c r="E33" s="127">
        <v>186738780</v>
      </c>
      <c r="F33" s="127">
        <v>198095820</v>
      </c>
      <c r="G33" s="127">
        <v>264806820</v>
      </c>
      <c r="H33" s="127">
        <v>247379280</v>
      </c>
      <c r="I33" s="95">
        <v>270883260</v>
      </c>
      <c r="J33" s="95">
        <v>254413080</v>
      </c>
      <c r="K33" s="92"/>
      <c r="L33" s="92"/>
      <c r="M33" s="92"/>
    </row>
    <row r="34" spans="1:13" ht="12" customHeight="1">
      <c r="A34" s="96" t="s">
        <v>67</v>
      </c>
      <c r="B34" s="129" t="s">
        <v>66</v>
      </c>
      <c r="C34" s="111">
        <v>159077225</v>
      </c>
      <c r="D34" s="111">
        <v>163061482</v>
      </c>
      <c r="E34" s="111">
        <v>164132597</v>
      </c>
      <c r="F34" s="111">
        <v>192944460</v>
      </c>
      <c r="G34" s="111">
        <v>189096390</v>
      </c>
      <c r="H34" s="111">
        <v>152764910</v>
      </c>
      <c r="I34" s="111">
        <v>231290154</v>
      </c>
      <c r="J34" s="111">
        <v>241285963</v>
      </c>
      <c r="K34" s="92"/>
      <c r="L34" s="92"/>
      <c r="M34" s="92"/>
    </row>
    <row r="35" spans="1:13" ht="12" customHeight="1">
      <c r="A35" s="107" t="s">
        <v>72</v>
      </c>
      <c r="B35" s="145" t="s">
        <v>66</v>
      </c>
      <c r="C35" s="100"/>
      <c r="D35" s="100"/>
      <c r="E35" s="100"/>
      <c r="F35" s="100"/>
      <c r="G35" s="100"/>
      <c r="H35" s="94"/>
      <c r="I35" s="94"/>
      <c r="J35" s="94"/>
      <c r="K35" s="92"/>
      <c r="L35" s="92"/>
      <c r="M35" s="92"/>
    </row>
    <row r="36" spans="1:13" ht="12" customHeight="1">
      <c r="A36" s="96" t="s">
        <v>22</v>
      </c>
      <c r="B36" s="129" t="s">
        <v>66</v>
      </c>
      <c r="C36" s="111">
        <v>100849212</v>
      </c>
      <c r="D36" s="111">
        <v>85862835</v>
      </c>
      <c r="E36" s="111">
        <v>92560725</v>
      </c>
      <c r="F36" s="111">
        <v>89523009</v>
      </c>
      <c r="G36" s="111">
        <v>91354608</v>
      </c>
      <c r="H36" s="111">
        <v>92617506</v>
      </c>
      <c r="I36" s="111">
        <v>89232138</v>
      </c>
      <c r="J36" s="111">
        <v>96917256</v>
      </c>
      <c r="K36" s="92"/>
      <c r="L36" s="92"/>
      <c r="M36" s="92"/>
    </row>
    <row r="37" spans="1:13" ht="12" customHeight="1">
      <c r="A37" s="397" t="s">
        <v>73</v>
      </c>
      <c r="B37" s="126" t="s">
        <v>66</v>
      </c>
      <c r="C37" s="95">
        <v>1722330</v>
      </c>
      <c r="D37" s="95">
        <v>7306296</v>
      </c>
      <c r="E37" s="95">
        <v>9315655</v>
      </c>
      <c r="F37" s="95" t="s">
        <v>33</v>
      </c>
      <c r="G37" s="95" t="s">
        <v>33</v>
      </c>
      <c r="H37" s="95" t="s">
        <v>33</v>
      </c>
      <c r="I37" s="95" t="s">
        <v>33</v>
      </c>
      <c r="J37" s="95" t="s">
        <v>33</v>
      </c>
      <c r="K37" s="92"/>
      <c r="L37" s="92"/>
      <c r="M37" s="92"/>
    </row>
    <row r="38" spans="1:13" ht="12" customHeight="1" thickBot="1">
      <c r="A38" s="98" t="s">
        <v>27</v>
      </c>
      <c r="B38" s="130" t="s">
        <v>66</v>
      </c>
      <c r="C38" s="131">
        <f>SUM(C33:C37)</f>
        <v>469038317</v>
      </c>
      <c r="D38" s="131">
        <f>SUM(D33:D37)</f>
        <v>466105903</v>
      </c>
      <c r="E38" s="131">
        <f>SUM(E33:E37)</f>
        <v>452747757</v>
      </c>
      <c r="F38" s="131">
        <f t="shared" ref="F38:J38" si="4">SUM(F33:F36)</f>
        <v>480563289</v>
      </c>
      <c r="G38" s="131">
        <f t="shared" si="4"/>
        <v>545257818</v>
      </c>
      <c r="H38" s="131">
        <f t="shared" si="4"/>
        <v>492761696</v>
      </c>
      <c r="I38" s="131">
        <f t="shared" si="4"/>
        <v>591405552</v>
      </c>
      <c r="J38" s="131">
        <f t="shared" si="4"/>
        <v>592616299</v>
      </c>
      <c r="K38" s="88"/>
      <c r="L38" s="88"/>
      <c r="M38" s="88"/>
    </row>
    <row r="39" spans="1:13" ht="12" customHeight="1">
      <c r="A39" s="107"/>
      <c r="B39" s="145"/>
      <c r="C39" s="145"/>
      <c r="D39" s="275"/>
      <c r="E39" s="275"/>
      <c r="F39" s="275"/>
      <c r="G39" s="275"/>
      <c r="H39" s="275"/>
      <c r="I39" s="275"/>
      <c r="J39" s="88"/>
      <c r="K39" s="88"/>
      <c r="L39" s="88"/>
    </row>
    <row r="40" spans="1:13" ht="12" customHeight="1">
      <c r="A40" s="156" t="s">
        <v>37</v>
      </c>
      <c r="B40" s="157"/>
      <c r="C40" s="157"/>
      <c r="D40" s="157"/>
      <c r="E40" s="157"/>
      <c r="F40" s="158"/>
      <c r="G40" s="159"/>
      <c r="H40" s="159"/>
      <c r="I40" s="159"/>
      <c r="J40" s="159"/>
      <c r="K40" s="88"/>
      <c r="L40" s="88"/>
    </row>
    <row r="41" spans="1:13" ht="24" customHeight="1">
      <c r="A41" s="632" t="s">
        <v>74</v>
      </c>
      <c r="B41" s="632"/>
      <c r="C41" s="632"/>
      <c r="D41" s="632"/>
      <c r="E41" s="632"/>
      <c r="F41" s="632"/>
      <c r="G41" s="632"/>
      <c r="H41" s="632"/>
      <c r="I41" s="632"/>
      <c r="J41" s="632"/>
    </row>
    <row r="42" spans="1:13" ht="42" customHeight="1">
      <c r="A42" s="633" t="s">
        <v>506</v>
      </c>
      <c r="B42" s="633"/>
      <c r="C42" s="633"/>
      <c r="D42" s="633"/>
      <c r="E42" s="633"/>
      <c r="F42" s="633"/>
      <c r="G42" s="633"/>
      <c r="H42" s="633"/>
      <c r="I42" s="633"/>
      <c r="J42" s="633"/>
    </row>
    <row r="43" spans="1:13" ht="12" customHeight="1">
      <c r="A43" s="632" t="s">
        <v>75</v>
      </c>
      <c r="B43" s="632"/>
      <c r="C43" s="632"/>
      <c r="D43" s="632"/>
      <c r="E43" s="632"/>
      <c r="F43" s="632"/>
      <c r="G43" s="632"/>
      <c r="H43" s="632"/>
      <c r="I43" s="632"/>
      <c r="J43" s="88"/>
    </row>
    <row r="44" spans="1:13" ht="12" customHeight="1">
      <c r="A44" s="632" t="s">
        <v>76</v>
      </c>
      <c r="B44" s="632"/>
      <c r="C44" s="632"/>
      <c r="D44" s="632"/>
      <c r="E44" s="632"/>
      <c r="F44" s="632"/>
      <c r="G44" s="632"/>
      <c r="H44" s="632"/>
      <c r="I44" s="632"/>
      <c r="J44" s="88"/>
    </row>
    <row r="45" spans="1:13" ht="12" customHeight="1">
      <c r="A45" s="632" t="s">
        <v>77</v>
      </c>
      <c r="B45" s="632"/>
      <c r="C45" s="632"/>
      <c r="D45" s="632"/>
      <c r="E45" s="632"/>
      <c r="F45" s="632"/>
      <c r="G45" s="632"/>
      <c r="H45" s="632"/>
      <c r="I45" s="632"/>
      <c r="J45" s="88"/>
    </row>
    <row r="46" spans="1:13" s="166" customFormat="1" ht="12" customHeight="1">
      <c r="A46" s="631" t="s">
        <v>78</v>
      </c>
      <c r="B46" s="631"/>
      <c r="C46" s="631"/>
      <c r="D46" s="631"/>
      <c r="E46" s="631"/>
      <c r="F46" s="631"/>
      <c r="G46" s="631"/>
      <c r="H46" s="631"/>
      <c r="I46" s="631"/>
    </row>
    <row r="48" spans="1:13" ht="15"/>
  </sheetData>
  <sheetProtection algorithmName="SHA-512" hashValue="LMdMCU+X4azKO2gdqwViWWSzuKkz9LrAxvB5NhbjARvPTGA7JNGE82zusNGrzKtuAv17r+PgRmKD6mcASCyoNw==" saltValue="iv+dhqRLV80ie3N/ohTwFA==" spinCount="100000" sheet="1" objects="1" scenarios="1" selectLockedCells="1" selectUnlockedCells="1"/>
  <mergeCells count="6">
    <mergeCell ref="A46:I46"/>
    <mergeCell ref="A43:I43"/>
    <mergeCell ref="A44:I44"/>
    <mergeCell ref="A45:I45"/>
    <mergeCell ref="A41:J41"/>
    <mergeCell ref="A42:J42"/>
  </mergeCells>
  <pageMargins left="0.7" right="0.7" top="0.75" bottom="0.75" header="0.3" footer="0.3"/>
  <pageSetup paperSize="9" scale="62" fitToHeight="0"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8A809-A49C-4385-A99F-3C4D5B8992FA}">
  <sheetPr>
    <pageSetUpPr fitToPage="1"/>
  </sheetPr>
  <dimension ref="A1:O140"/>
  <sheetViews>
    <sheetView zoomScale="130" zoomScaleNormal="130" workbookViewId="0">
      <pane xSplit="7" ySplit="4" topLeftCell="H5" activePane="bottomRight" state="frozen"/>
      <selection pane="topRight"/>
      <selection pane="bottomLeft"/>
      <selection pane="bottomRight"/>
    </sheetView>
  </sheetViews>
  <sheetFormatPr defaultRowHeight="15"/>
  <cols>
    <col min="1" max="1" width="70.42578125" customWidth="1"/>
    <col min="2" max="2" width="10" bestFit="1" customWidth="1"/>
    <col min="3" max="3" width="10" customWidth="1"/>
    <col min="4" max="4" width="6.85546875" bestFit="1" customWidth="1"/>
    <col min="5" max="6" width="5.7109375" bestFit="1" customWidth="1"/>
    <col min="7" max="7" width="7.42578125" customWidth="1"/>
    <col min="9" max="9" width="8.5703125" customWidth="1"/>
  </cols>
  <sheetData>
    <row r="1" spans="1:13" ht="12" customHeight="1">
      <c r="A1" s="121"/>
      <c r="B1" s="121"/>
      <c r="C1" s="121"/>
      <c r="D1" s="121"/>
      <c r="E1" s="121"/>
      <c r="F1" s="121"/>
      <c r="G1" s="121"/>
    </row>
    <row r="2" spans="1:13" ht="23.25">
      <c r="A2" s="184" t="s">
        <v>79</v>
      </c>
      <c r="B2" s="184"/>
      <c r="C2" s="184"/>
      <c r="D2" s="184"/>
      <c r="E2" s="184"/>
      <c r="F2" s="185"/>
      <c r="G2" s="185"/>
      <c r="H2" s="185"/>
      <c r="I2" s="185"/>
      <c r="J2" s="185"/>
    </row>
    <row r="3" spans="1:13" ht="12" customHeight="1">
      <c r="A3" s="121"/>
      <c r="B3" s="121"/>
      <c r="C3" s="121"/>
      <c r="D3" s="121"/>
      <c r="E3" s="121"/>
      <c r="F3" s="121"/>
      <c r="G3" s="121"/>
    </row>
    <row r="4" spans="1:13" ht="17.25" customHeight="1">
      <c r="A4" s="392" t="s">
        <v>80</v>
      </c>
      <c r="B4" s="187" t="s">
        <v>20</v>
      </c>
      <c r="C4" s="187">
        <v>2025</v>
      </c>
      <c r="D4" s="187">
        <v>2024</v>
      </c>
      <c r="E4" s="182">
        <v>2023</v>
      </c>
      <c r="F4" s="182">
        <v>2022</v>
      </c>
      <c r="G4" s="182">
        <v>2021</v>
      </c>
      <c r="H4" s="180">
        <v>2020</v>
      </c>
      <c r="I4" s="182">
        <v>2019</v>
      </c>
      <c r="J4" s="182">
        <v>2018</v>
      </c>
      <c r="K4" s="92"/>
      <c r="L4" s="92"/>
      <c r="M4" s="92"/>
    </row>
    <row r="5" spans="1:13" ht="12" customHeight="1">
      <c r="A5" s="186" t="s">
        <v>81</v>
      </c>
      <c r="B5" s="187"/>
      <c r="C5" s="187"/>
      <c r="D5" s="187"/>
      <c r="E5" s="182"/>
      <c r="F5" s="182"/>
      <c r="G5" s="182"/>
      <c r="H5" s="180"/>
      <c r="I5" s="182"/>
      <c r="J5" s="182"/>
      <c r="K5" s="92"/>
      <c r="L5" s="92"/>
      <c r="M5" s="92"/>
    </row>
    <row r="6" spans="1:13" ht="12" customHeight="1">
      <c r="A6" s="177" t="s">
        <v>82</v>
      </c>
      <c r="B6" s="187"/>
      <c r="C6" s="187"/>
      <c r="D6" s="187"/>
      <c r="E6" s="182"/>
      <c r="F6" s="182"/>
      <c r="G6" s="182"/>
      <c r="H6" s="180"/>
      <c r="I6" s="182"/>
      <c r="J6" s="182"/>
      <c r="K6" s="92"/>
      <c r="L6" s="92"/>
      <c r="M6" s="92"/>
    </row>
    <row r="7" spans="1:13" ht="12" customHeight="1">
      <c r="A7" s="93" t="s">
        <v>22</v>
      </c>
      <c r="B7" s="126" t="s">
        <v>83</v>
      </c>
      <c r="C7" s="127">
        <v>3342.9470000000001</v>
      </c>
      <c r="D7" s="127">
        <v>3599</v>
      </c>
      <c r="E7" s="127">
        <v>2754</v>
      </c>
      <c r="F7" s="127">
        <v>2451</v>
      </c>
      <c r="G7" s="127">
        <v>2722</v>
      </c>
      <c r="H7" s="128">
        <v>2096</v>
      </c>
      <c r="I7" s="128">
        <v>2101</v>
      </c>
      <c r="J7" s="128">
        <v>2423</v>
      </c>
      <c r="K7" s="92"/>
      <c r="L7" s="92"/>
      <c r="M7" s="92"/>
    </row>
    <row r="8" spans="1:13" ht="12" customHeight="1">
      <c r="A8" s="96" t="s">
        <v>84</v>
      </c>
      <c r="B8" s="129" t="s">
        <v>83</v>
      </c>
      <c r="C8" s="265">
        <v>137</v>
      </c>
      <c r="D8" s="265">
        <v>112</v>
      </c>
      <c r="E8" s="265">
        <v>133</v>
      </c>
      <c r="F8" s="265">
        <v>177.21</v>
      </c>
      <c r="G8" s="94">
        <v>233</v>
      </c>
      <c r="H8" s="310">
        <v>1145</v>
      </c>
      <c r="I8" s="310">
        <v>1518</v>
      </c>
      <c r="J8" s="310">
        <v>1614</v>
      </c>
      <c r="K8" s="92"/>
      <c r="L8" s="92"/>
      <c r="M8" s="92"/>
    </row>
    <row r="9" spans="1:13" ht="12" customHeight="1">
      <c r="A9" s="98" t="s">
        <v>27</v>
      </c>
      <c r="B9" s="130" t="s">
        <v>83</v>
      </c>
      <c r="C9" s="99">
        <f>SUM(C7:C8)</f>
        <v>3479.9470000000001</v>
      </c>
      <c r="D9" s="99">
        <f>SUM(D7:D8)</f>
        <v>3711</v>
      </c>
      <c r="E9" s="99">
        <f>SUM(E7:E8)</f>
        <v>2887</v>
      </c>
      <c r="F9" s="99">
        <f>SUM(F7:F8)</f>
        <v>2628.21</v>
      </c>
      <c r="G9" s="99">
        <f>SUM(G7:G8)</f>
        <v>2955</v>
      </c>
      <c r="H9" s="99">
        <f t="shared" ref="H9:J9" si="0">SUM(H7:H8)</f>
        <v>3241</v>
      </c>
      <c r="I9" s="99">
        <f t="shared" si="0"/>
        <v>3619</v>
      </c>
      <c r="J9" s="99">
        <f t="shared" si="0"/>
        <v>4037</v>
      </c>
      <c r="K9" s="225"/>
      <c r="L9" s="92"/>
      <c r="M9" s="92"/>
    </row>
    <row r="10" spans="1:13" ht="12" customHeight="1">
      <c r="A10" s="93"/>
      <c r="B10" s="126"/>
      <c r="C10" s="94"/>
      <c r="D10" s="94"/>
      <c r="E10" s="94"/>
      <c r="F10" s="94"/>
      <c r="G10" s="94"/>
      <c r="H10" s="108"/>
      <c r="I10" s="108"/>
      <c r="J10" s="108"/>
      <c r="K10" s="92"/>
      <c r="L10" s="92"/>
      <c r="M10" s="92"/>
    </row>
    <row r="11" spans="1:13" ht="12" customHeight="1">
      <c r="A11" s="177" t="s">
        <v>85</v>
      </c>
      <c r="B11" s="188"/>
      <c r="C11" s="189"/>
      <c r="D11" s="189"/>
      <c r="E11" s="189"/>
      <c r="F11" s="189"/>
      <c r="G11" s="189"/>
      <c r="H11" s="190"/>
      <c r="I11" s="190"/>
      <c r="J11" s="190"/>
      <c r="K11" s="92"/>
      <c r="L11" s="92"/>
      <c r="M11" s="92"/>
    </row>
    <row r="12" spans="1:13" ht="12" customHeight="1">
      <c r="A12" s="93" t="s">
        <v>86</v>
      </c>
      <c r="B12" s="126" t="s">
        <v>83</v>
      </c>
      <c r="C12" s="128">
        <v>1059</v>
      </c>
      <c r="D12" s="128">
        <v>2820</v>
      </c>
      <c r="E12" s="128">
        <v>3340</v>
      </c>
      <c r="F12" s="128">
        <v>3967</v>
      </c>
      <c r="G12" s="128">
        <v>3280</v>
      </c>
      <c r="H12" s="128">
        <v>4817</v>
      </c>
      <c r="I12" s="128">
        <v>4510</v>
      </c>
      <c r="J12" s="128">
        <v>3424</v>
      </c>
      <c r="K12" s="92"/>
      <c r="L12" s="92"/>
      <c r="M12" s="92"/>
    </row>
    <row r="13" spans="1:13" ht="12" customHeight="1">
      <c r="A13" s="96" t="s">
        <v>67</v>
      </c>
      <c r="B13" s="129" t="s">
        <v>83</v>
      </c>
      <c r="C13" s="311">
        <v>724</v>
      </c>
      <c r="D13" s="311">
        <v>44</v>
      </c>
      <c r="E13" s="311">
        <v>44</v>
      </c>
      <c r="F13" s="311">
        <v>60.24</v>
      </c>
      <c r="G13" s="312">
        <v>215</v>
      </c>
      <c r="H13" s="236">
        <v>289</v>
      </c>
      <c r="I13" s="236">
        <v>358</v>
      </c>
      <c r="J13" s="236">
        <v>689</v>
      </c>
      <c r="K13" s="92"/>
      <c r="L13" s="92"/>
      <c r="M13" s="92"/>
    </row>
    <row r="14" spans="1:13" ht="12" customHeight="1" thickBot="1">
      <c r="A14" s="98" t="s">
        <v>27</v>
      </c>
      <c r="B14" s="130" t="s">
        <v>83</v>
      </c>
      <c r="C14" s="99">
        <f>SUM(C12:C13)</f>
        <v>1783</v>
      </c>
      <c r="D14" s="99">
        <f>SUM(D12:D13)</f>
        <v>2864</v>
      </c>
      <c r="E14" s="99">
        <f>SUM(E12:E13)</f>
        <v>3384</v>
      </c>
      <c r="F14" s="99">
        <f>SUM(F12:F13)</f>
        <v>4027.24</v>
      </c>
      <c r="G14" s="99">
        <f>SUM(G12:G13)</f>
        <v>3495</v>
      </c>
      <c r="H14" s="99">
        <f t="shared" ref="H14:J14" si="1">SUM(H12:H13)</f>
        <v>5106</v>
      </c>
      <c r="I14" s="99">
        <f t="shared" si="1"/>
        <v>4868</v>
      </c>
      <c r="J14" s="99">
        <f t="shared" si="1"/>
        <v>4113</v>
      </c>
      <c r="K14" s="92"/>
      <c r="L14" s="92"/>
      <c r="M14" s="92"/>
    </row>
    <row r="15" spans="1:13" ht="12" customHeight="1">
      <c r="A15" s="93"/>
      <c r="B15" s="126"/>
      <c r="C15" s="94"/>
      <c r="D15" s="94"/>
      <c r="E15" s="94"/>
      <c r="F15" s="94"/>
      <c r="G15" s="94"/>
      <c r="H15" s="108"/>
      <c r="I15" s="108"/>
      <c r="J15" s="108"/>
      <c r="K15" s="92"/>
      <c r="L15" s="92"/>
      <c r="M15" s="92"/>
    </row>
    <row r="16" spans="1:13" ht="12" customHeight="1">
      <c r="A16" s="177" t="s">
        <v>87</v>
      </c>
      <c r="B16" s="191"/>
      <c r="C16" s="192"/>
      <c r="D16" s="192"/>
      <c r="E16" s="192"/>
      <c r="F16" s="192"/>
      <c r="G16" s="192"/>
      <c r="H16" s="186"/>
      <c r="I16" s="186"/>
      <c r="J16" s="186"/>
      <c r="K16" s="92"/>
      <c r="L16" s="92"/>
      <c r="M16" s="92"/>
    </row>
    <row r="17" spans="1:13" ht="12" customHeight="1">
      <c r="A17" s="93" t="s">
        <v>22</v>
      </c>
      <c r="B17" s="126" t="s">
        <v>83</v>
      </c>
      <c r="C17" s="127">
        <v>14863.31</v>
      </c>
      <c r="D17" s="127">
        <v>12086.83</v>
      </c>
      <c r="E17" s="127">
        <v>11923</v>
      </c>
      <c r="F17" s="127">
        <v>9819</v>
      </c>
      <c r="G17" s="127">
        <v>9480</v>
      </c>
      <c r="H17" s="128">
        <v>10444</v>
      </c>
      <c r="I17" s="128">
        <v>10513</v>
      </c>
      <c r="J17" s="128">
        <v>6672</v>
      </c>
      <c r="K17" s="390"/>
      <c r="L17" s="92"/>
      <c r="M17" s="92"/>
    </row>
    <row r="18" spans="1:13" ht="12" customHeight="1">
      <c r="A18" s="96" t="s">
        <v>67</v>
      </c>
      <c r="B18" s="129" t="s">
        <v>83</v>
      </c>
      <c r="C18" s="95">
        <v>3010</v>
      </c>
      <c r="D18" s="95">
        <v>2480</v>
      </c>
      <c r="E18" s="95">
        <v>2272</v>
      </c>
      <c r="F18" s="95">
        <v>2780.49</v>
      </c>
      <c r="G18" s="95">
        <v>2493</v>
      </c>
      <c r="H18" s="310">
        <v>1505</v>
      </c>
      <c r="I18" s="310">
        <v>1217</v>
      </c>
      <c r="J18" s="132">
        <v>870</v>
      </c>
      <c r="K18" s="92"/>
      <c r="L18" s="92"/>
      <c r="M18" s="92"/>
    </row>
    <row r="19" spans="1:13" ht="12" customHeight="1">
      <c r="A19" s="98" t="s">
        <v>27</v>
      </c>
      <c r="B19" s="130" t="s">
        <v>83</v>
      </c>
      <c r="C19" s="99">
        <f>SUM(C17:C18)</f>
        <v>17873.309999999998</v>
      </c>
      <c r="D19" s="99">
        <f>SUM(D17:D18)</f>
        <v>14566.83</v>
      </c>
      <c r="E19" s="99">
        <f>SUM(E17:E18)</f>
        <v>14195</v>
      </c>
      <c r="F19" s="99">
        <f>SUM(F17:F18)</f>
        <v>12599.49</v>
      </c>
      <c r="G19" s="99">
        <f>SUM(G17:G18)</f>
        <v>11973</v>
      </c>
      <c r="H19" s="99">
        <f t="shared" ref="H19:J19" si="2">SUM(H17:H18)</f>
        <v>11949</v>
      </c>
      <c r="I19" s="99">
        <f t="shared" si="2"/>
        <v>11730</v>
      </c>
      <c r="J19" s="99">
        <f t="shared" si="2"/>
        <v>7542</v>
      </c>
      <c r="K19" s="92"/>
      <c r="L19" s="92"/>
      <c r="M19" s="92"/>
    </row>
    <row r="20" spans="1:13" ht="12" customHeight="1">
      <c r="A20" s="93"/>
      <c r="B20" s="126"/>
      <c r="C20" s="94"/>
      <c r="D20" s="94"/>
      <c r="E20" s="94"/>
      <c r="F20" s="94"/>
      <c r="G20" s="94"/>
      <c r="H20" s="108"/>
      <c r="I20" s="108"/>
      <c r="J20" s="108"/>
      <c r="K20" s="92"/>
      <c r="L20" s="92"/>
      <c r="M20" s="92"/>
    </row>
    <row r="21" spans="1:13" ht="12" customHeight="1">
      <c r="A21" s="133" t="s">
        <v>88</v>
      </c>
      <c r="B21" s="134" t="s">
        <v>89</v>
      </c>
      <c r="C21" s="267">
        <f>(C9+C14)/(C9+C14+C19)</f>
        <v>0.22747616435968881</v>
      </c>
      <c r="D21" s="267">
        <f>(D9+D14)/(D9+D14+D19)</f>
        <v>0.31099483819517987</v>
      </c>
      <c r="E21" s="267">
        <f>(E9+E14)/(E9+E14+E19)</f>
        <v>0.30641063226815207</v>
      </c>
      <c r="F21" s="267">
        <f>(F9+F14)/(F9+F14+F19)</f>
        <v>0.34564896073423235</v>
      </c>
      <c r="G21" s="135">
        <v>35</v>
      </c>
      <c r="H21" s="135">
        <v>41</v>
      </c>
      <c r="I21" s="135">
        <v>42</v>
      </c>
      <c r="J21" s="135">
        <v>52</v>
      </c>
      <c r="K21" s="92"/>
      <c r="L21" s="92"/>
      <c r="M21" s="92"/>
    </row>
    <row r="22" spans="1:13" ht="12" customHeight="1">
      <c r="A22" s="109" t="s">
        <v>90</v>
      </c>
      <c r="B22" s="136" t="s">
        <v>89</v>
      </c>
      <c r="C22" s="268">
        <f>(C19)/(C9+C14+C19)</f>
        <v>0.77252383564031124</v>
      </c>
      <c r="D22" s="268">
        <f>(D19)/(D9+D14+D19)</f>
        <v>0.68900516180482008</v>
      </c>
      <c r="E22" s="268">
        <f>(E19)/(E9+E14+E19)</f>
        <v>0.69358936773184798</v>
      </c>
      <c r="F22" s="268">
        <f>(F19)/(F9+F14+F19)</f>
        <v>0.65435103926576765</v>
      </c>
      <c r="G22" s="137">
        <v>65</v>
      </c>
      <c r="H22" s="137">
        <v>59</v>
      </c>
      <c r="I22" s="137">
        <v>58</v>
      </c>
      <c r="J22" s="137">
        <v>48</v>
      </c>
      <c r="K22" s="92"/>
      <c r="L22" s="92"/>
      <c r="M22" s="92"/>
    </row>
    <row r="23" spans="1:13" ht="12" customHeight="1">
      <c r="A23" s="138"/>
      <c r="B23" s="126"/>
      <c r="C23" s="94"/>
      <c r="D23" s="94"/>
      <c r="E23" s="94"/>
      <c r="F23" s="94"/>
      <c r="G23" s="94"/>
      <c r="H23" s="108"/>
      <c r="I23" s="108"/>
      <c r="J23" s="108"/>
      <c r="K23" s="92"/>
      <c r="L23" s="92"/>
      <c r="M23" s="92"/>
    </row>
    <row r="24" spans="1:13" ht="12" customHeight="1">
      <c r="A24" s="177" t="s">
        <v>91</v>
      </c>
      <c r="B24" s="191"/>
      <c r="C24" s="192"/>
      <c r="D24" s="192"/>
      <c r="E24" s="192"/>
      <c r="F24" s="192"/>
      <c r="G24" s="192"/>
      <c r="H24" s="186"/>
      <c r="I24" s="186"/>
      <c r="J24" s="186"/>
      <c r="K24" s="92"/>
      <c r="L24" s="92"/>
      <c r="M24" s="92"/>
    </row>
    <row r="25" spans="1:13" ht="12" customHeight="1">
      <c r="A25" s="93" t="s">
        <v>22</v>
      </c>
      <c r="B25" s="126" t="s">
        <v>83</v>
      </c>
      <c r="C25" s="108">
        <v>91.35</v>
      </c>
      <c r="D25" s="108">
        <v>0</v>
      </c>
      <c r="E25" s="108">
        <v>86.9</v>
      </c>
      <c r="F25" s="108">
        <v>0</v>
      </c>
      <c r="G25" s="108">
        <v>0</v>
      </c>
      <c r="H25" s="108">
        <v>0</v>
      </c>
      <c r="I25" s="108">
        <v>0</v>
      </c>
      <c r="J25" s="108">
        <v>0</v>
      </c>
      <c r="K25" s="92"/>
      <c r="L25" s="92"/>
      <c r="M25" s="92"/>
    </row>
    <row r="26" spans="1:13" ht="12" customHeight="1">
      <c r="A26" s="96" t="s">
        <v>67</v>
      </c>
      <c r="B26" s="129" t="s">
        <v>83</v>
      </c>
      <c r="C26" s="77">
        <v>4289</v>
      </c>
      <c r="D26" s="77">
        <v>3901</v>
      </c>
      <c r="E26" s="77">
        <v>3967</v>
      </c>
      <c r="F26" s="77">
        <v>3560.9</v>
      </c>
      <c r="G26" s="77">
        <v>4843</v>
      </c>
      <c r="H26" s="77">
        <v>5935</v>
      </c>
      <c r="I26" s="77">
        <v>5045</v>
      </c>
      <c r="J26" s="77">
        <v>6166</v>
      </c>
      <c r="K26" s="92"/>
      <c r="L26" s="92"/>
      <c r="M26" s="92"/>
    </row>
    <row r="27" spans="1:13" ht="12" customHeight="1" thickBot="1">
      <c r="A27" s="98" t="s">
        <v>27</v>
      </c>
      <c r="B27" s="130" t="s">
        <v>83</v>
      </c>
      <c r="C27" s="99">
        <f>SUM(C25:C26)</f>
        <v>4380.3500000000004</v>
      </c>
      <c r="D27" s="99">
        <f>SUM(D25:D26)</f>
        <v>3901</v>
      </c>
      <c r="E27" s="99">
        <f>SUM(E25:E26)</f>
        <v>4053.9</v>
      </c>
      <c r="F27" s="99">
        <f>SUM(F25:F26)</f>
        <v>3560.9</v>
      </c>
      <c r="G27" s="99">
        <f>SUM(G25:G26)</f>
        <v>4843</v>
      </c>
      <c r="H27" s="99">
        <f t="shared" ref="H27:I27" si="3">SUM(H25:H26)</f>
        <v>5935</v>
      </c>
      <c r="I27" s="99">
        <f t="shared" si="3"/>
        <v>5045</v>
      </c>
      <c r="J27" s="99">
        <f>SUM(J25:J26)</f>
        <v>6166</v>
      </c>
      <c r="K27" s="92"/>
      <c r="L27" s="92"/>
      <c r="M27" s="92"/>
    </row>
    <row r="28" spans="1:13" ht="12" customHeight="1">
      <c r="A28" s="93"/>
      <c r="B28" s="126"/>
      <c r="C28" s="94"/>
      <c r="D28" s="94"/>
      <c r="E28" s="94"/>
      <c r="F28" s="94"/>
      <c r="G28" s="94"/>
      <c r="H28" s="108"/>
      <c r="I28" s="108"/>
      <c r="J28" s="108"/>
      <c r="K28" s="92"/>
      <c r="L28" s="92"/>
      <c r="M28" s="92"/>
    </row>
    <row r="29" spans="1:13" ht="12" customHeight="1">
      <c r="A29" s="177" t="s">
        <v>92</v>
      </c>
      <c r="B29" s="191"/>
      <c r="C29" s="192"/>
      <c r="D29" s="192"/>
      <c r="E29" s="192"/>
      <c r="F29" s="192"/>
      <c r="G29" s="192"/>
      <c r="H29" s="186"/>
      <c r="I29" s="186"/>
      <c r="J29" s="186"/>
      <c r="K29" s="92"/>
      <c r="L29" s="92"/>
      <c r="M29" s="92"/>
    </row>
    <row r="30" spans="1:13" ht="12" customHeight="1">
      <c r="A30" s="93" t="s">
        <v>22</v>
      </c>
      <c r="B30" s="126" t="s">
        <v>83</v>
      </c>
      <c r="C30" s="94">
        <v>0</v>
      </c>
      <c r="D30" s="94">
        <v>0</v>
      </c>
      <c r="E30" s="94">
        <v>0</v>
      </c>
      <c r="F30" s="94">
        <v>0</v>
      </c>
      <c r="G30" s="94">
        <v>0</v>
      </c>
      <c r="H30" s="108">
        <v>575</v>
      </c>
      <c r="I30" s="103" t="s">
        <v>33</v>
      </c>
      <c r="J30" s="103" t="s">
        <v>33</v>
      </c>
      <c r="K30" s="92"/>
      <c r="L30" s="92"/>
      <c r="M30" s="92"/>
    </row>
    <row r="31" spans="1:13" ht="12" customHeight="1">
      <c r="A31" s="96" t="s">
        <v>67</v>
      </c>
      <c r="B31" s="129" t="s">
        <v>83</v>
      </c>
      <c r="C31" s="97">
        <v>0</v>
      </c>
      <c r="D31" s="97">
        <v>0</v>
      </c>
      <c r="E31" s="97">
        <v>0</v>
      </c>
      <c r="F31" s="97">
        <v>0</v>
      </c>
      <c r="G31" s="97">
        <v>0</v>
      </c>
      <c r="H31" s="110">
        <v>0</v>
      </c>
      <c r="I31" s="94" t="s">
        <v>33</v>
      </c>
      <c r="J31" s="94" t="s">
        <v>33</v>
      </c>
      <c r="K31" s="92"/>
      <c r="L31" s="92"/>
      <c r="M31" s="92"/>
    </row>
    <row r="32" spans="1:13" ht="12" customHeight="1" thickBot="1">
      <c r="A32" s="98" t="s">
        <v>27</v>
      </c>
      <c r="B32" s="130" t="s">
        <v>83</v>
      </c>
      <c r="C32" s="101">
        <f t="shared" ref="C32:H32" si="4">SUM(C30:C31)</f>
        <v>0</v>
      </c>
      <c r="D32" s="101">
        <f t="shared" si="4"/>
        <v>0</v>
      </c>
      <c r="E32" s="101">
        <f t="shared" si="4"/>
        <v>0</v>
      </c>
      <c r="F32" s="101">
        <f t="shared" si="4"/>
        <v>0</v>
      </c>
      <c r="G32" s="101">
        <f t="shared" si="4"/>
        <v>0</v>
      </c>
      <c r="H32" s="101">
        <f t="shared" si="4"/>
        <v>575</v>
      </c>
      <c r="I32" s="101" t="s">
        <v>33</v>
      </c>
      <c r="J32" s="101" t="s">
        <v>33</v>
      </c>
      <c r="K32" s="92"/>
      <c r="L32" s="92"/>
      <c r="M32" s="92"/>
    </row>
    <row r="33" spans="1:13" ht="12" customHeight="1">
      <c r="A33" s="93"/>
      <c r="B33" s="126"/>
      <c r="C33" s="94"/>
      <c r="D33" s="94"/>
      <c r="E33" s="94"/>
      <c r="F33" s="94"/>
      <c r="G33" s="94"/>
      <c r="H33" s="108"/>
      <c r="I33" s="94"/>
      <c r="J33" s="94"/>
      <c r="K33" s="92"/>
      <c r="L33" s="92"/>
      <c r="M33" s="92"/>
    </row>
    <row r="34" spans="1:13" ht="12" customHeight="1">
      <c r="A34" s="177" t="s">
        <v>93</v>
      </c>
      <c r="B34" s="193"/>
      <c r="C34" s="194"/>
      <c r="D34" s="194"/>
      <c r="E34" s="194"/>
      <c r="F34" s="194"/>
      <c r="G34" s="194"/>
      <c r="H34" s="195"/>
      <c r="I34" s="195"/>
      <c r="J34" s="195"/>
      <c r="K34" s="88"/>
      <c r="L34" s="88"/>
      <c r="M34" s="88"/>
    </row>
    <row r="35" spans="1:13" ht="12" customHeight="1">
      <c r="A35" s="93" t="s">
        <v>22</v>
      </c>
      <c r="B35" s="126" t="s">
        <v>94</v>
      </c>
      <c r="C35" s="281">
        <f>(C7+C12)/'Our Operations'!C12</f>
        <v>415.27801886792457</v>
      </c>
      <c r="D35" s="281">
        <f>(D7+D12)/'Our Operations'!D12</f>
        <v>661.75257731958766</v>
      </c>
      <c r="E35" s="281">
        <f>(E7+E12)/'Our Operations'!E12</f>
        <v>609.4</v>
      </c>
      <c r="F35" s="281">
        <f>(F7+F12)/'Our Operations'!F12</f>
        <v>654.89795918367338</v>
      </c>
      <c r="G35" s="103">
        <v>541</v>
      </c>
      <c r="H35" s="108">
        <v>576</v>
      </c>
      <c r="I35" s="108">
        <v>529</v>
      </c>
      <c r="J35" s="103" t="s">
        <v>33</v>
      </c>
      <c r="K35" s="92"/>
      <c r="L35" s="92"/>
      <c r="M35" s="92"/>
    </row>
    <row r="36" spans="1:13" ht="12" customHeight="1" thickBot="1">
      <c r="A36" s="104" t="s">
        <v>95</v>
      </c>
      <c r="B36" s="140" t="s">
        <v>94</v>
      </c>
      <c r="C36" s="270">
        <f>((C8+C13)/('Our Operations'!C14+'Our Operations'!C15))</f>
        <v>159.44444444444443</v>
      </c>
      <c r="D36" s="270">
        <v>27.48</v>
      </c>
      <c r="E36" s="270">
        <v>32.57</v>
      </c>
      <c r="F36" s="270">
        <v>36.918999999999997</v>
      </c>
      <c r="G36" s="106">
        <v>71</v>
      </c>
      <c r="H36" s="219">
        <v>282</v>
      </c>
      <c r="I36" s="219">
        <v>243</v>
      </c>
      <c r="J36" s="112" t="s">
        <v>33</v>
      </c>
      <c r="K36" s="92"/>
      <c r="L36" s="85"/>
      <c r="M36" s="92"/>
    </row>
    <row r="37" spans="1:13" ht="12" customHeight="1">
      <c r="A37" s="93"/>
      <c r="B37" s="126"/>
      <c r="C37" s="94"/>
      <c r="D37" s="94"/>
      <c r="E37" s="94"/>
      <c r="F37" s="94"/>
      <c r="G37" s="94"/>
      <c r="H37" s="108"/>
      <c r="I37" s="108"/>
      <c r="J37" s="94"/>
      <c r="K37" s="92"/>
      <c r="L37" s="92"/>
      <c r="M37" s="92"/>
    </row>
    <row r="38" spans="1:13" ht="12" customHeight="1">
      <c r="A38" s="186" t="s">
        <v>96</v>
      </c>
      <c r="B38" s="186"/>
      <c r="C38" s="186"/>
      <c r="D38" s="186"/>
      <c r="E38" s="186"/>
      <c r="F38" s="186"/>
      <c r="G38" s="186"/>
      <c r="H38" s="186"/>
      <c r="I38" s="186"/>
      <c r="J38" s="186"/>
      <c r="K38" s="92"/>
      <c r="L38" s="92"/>
      <c r="M38" s="92"/>
    </row>
    <row r="39" spans="1:13" ht="12" customHeight="1">
      <c r="A39" s="177" t="s">
        <v>97</v>
      </c>
      <c r="B39" s="193"/>
      <c r="C39" s="193"/>
      <c r="D39" s="193"/>
      <c r="E39" s="193"/>
      <c r="F39" s="193"/>
      <c r="G39" s="194"/>
      <c r="H39" s="195"/>
      <c r="I39" s="195"/>
      <c r="J39" s="195"/>
      <c r="K39" s="88"/>
      <c r="L39" s="88"/>
      <c r="M39" s="88"/>
    </row>
    <row r="40" spans="1:13" ht="12" customHeight="1">
      <c r="A40" s="93" t="s">
        <v>98</v>
      </c>
      <c r="B40" s="126" t="s">
        <v>99</v>
      </c>
      <c r="C40" s="95">
        <v>25584</v>
      </c>
      <c r="D40" s="95">
        <v>25584</v>
      </c>
      <c r="E40" s="95">
        <v>25584</v>
      </c>
      <c r="F40" s="95">
        <v>25584</v>
      </c>
      <c r="G40" s="95">
        <v>25584</v>
      </c>
      <c r="H40" s="128">
        <v>25584</v>
      </c>
      <c r="I40" s="94" t="s">
        <v>33</v>
      </c>
      <c r="J40" s="94" t="s">
        <v>33</v>
      </c>
      <c r="K40" s="92"/>
      <c r="L40" s="92"/>
      <c r="M40" s="92"/>
    </row>
    <row r="41" spans="1:13" ht="12" customHeight="1">
      <c r="A41" s="96" t="s">
        <v>100</v>
      </c>
      <c r="B41" s="141" t="s">
        <v>99</v>
      </c>
      <c r="C41" s="143">
        <v>3940</v>
      </c>
      <c r="D41" s="143">
        <v>3940</v>
      </c>
      <c r="E41" s="143">
        <v>3940</v>
      </c>
      <c r="F41" s="143">
        <v>3937</v>
      </c>
      <c r="G41" s="143">
        <v>4030</v>
      </c>
      <c r="H41" s="142">
        <v>4082</v>
      </c>
      <c r="I41" s="97" t="s">
        <v>33</v>
      </c>
      <c r="J41" s="97" t="s">
        <v>33</v>
      </c>
      <c r="K41" s="92"/>
      <c r="L41" s="85"/>
      <c r="M41" s="92"/>
    </row>
    <row r="42" spans="1:13" ht="12" customHeight="1" thickBot="1">
      <c r="A42" s="98" t="s">
        <v>27</v>
      </c>
      <c r="B42" s="130" t="s">
        <v>99</v>
      </c>
      <c r="C42" s="131">
        <f t="shared" ref="C42:H42" si="5">SUM(C40:C41)</f>
        <v>29524</v>
      </c>
      <c r="D42" s="131">
        <f t="shared" si="5"/>
        <v>29524</v>
      </c>
      <c r="E42" s="131">
        <f t="shared" si="5"/>
        <v>29524</v>
      </c>
      <c r="F42" s="131">
        <f t="shared" si="5"/>
        <v>29521</v>
      </c>
      <c r="G42" s="131">
        <f t="shared" si="5"/>
        <v>29614</v>
      </c>
      <c r="H42" s="131">
        <f t="shared" si="5"/>
        <v>29666</v>
      </c>
      <c r="I42" s="101" t="s">
        <v>33</v>
      </c>
      <c r="J42" s="101" t="s">
        <v>33</v>
      </c>
      <c r="K42" s="92"/>
      <c r="L42" s="85"/>
      <c r="M42" s="92"/>
    </row>
    <row r="43" spans="1:13" ht="12" customHeight="1">
      <c r="A43" s="93"/>
      <c r="B43" s="126"/>
      <c r="C43" s="94"/>
      <c r="D43" s="94"/>
      <c r="E43" s="94"/>
      <c r="F43" s="94"/>
      <c r="G43" s="94"/>
      <c r="H43" s="108"/>
      <c r="I43" s="94"/>
      <c r="J43" s="94"/>
      <c r="K43" s="92"/>
      <c r="L43" s="92"/>
      <c r="M43" s="92"/>
    </row>
    <row r="44" spans="1:13" ht="12" customHeight="1">
      <c r="A44" s="177" t="s">
        <v>101</v>
      </c>
      <c r="B44" s="193"/>
      <c r="C44" s="194"/>
      <c r="D44" s="194"/>
      <c r="E44" s="194"/>
      <c r="F44" s="194"/>
      <c r="G44" s="194"/>
      <c r="H44" s="195"/>
      <c r="I44" s="195"/>
      <c r="J44" s="195"/>
      <c r="K44" s="88"/>
      <c r="L44" s="88"/>
      <c r="M44" s="88"/>
    </row>
    <row r="45" spans="1:13" ht="12" customHeight="1">
      <c r="A45" s="93" t="s">
        <v>22</v>
      </c>
      <c r="B45" s="126" t="s">
        <v>99</v>
      </c>
      <c r="C45" s="95">
        <v>9176</v>
      </c>
      <c r="D45" s="95">
        <v>9033</v>
      </c>
      <c r="E45" s="95">
        <v>8494</v>
      </c>
      <c r="F45" s="95">
        <v>7788</v>
      </c>
      <c r="G45" s="95">
        <v>7688</v>
      </c>
      <c r="H45" s="128">
        <v>7537</v>
      </c>
      <c r="I45" s="128">
        <v>7294</v>
      </c>
      <c r="J45" s="128">
        <v>7226</v>
      </c>
      <c r="K45" s="92"/>
      <c r="L45" s="92"/>
      <c r="M45" s="92"/>
    </row>
    <row r="46" spans="1:13" ht="12" customHeight="1">
      <c r="A46" s="96" t="s">
        <v>67</v>
      </c>
      <c r="B46" s="141" t="s">
        <v>99</v>
      </c>
      <c r="C46" s="143">
        <v>594</v>
      </c>
      <c r="D46" s="143">
        <v>866</v>
      </c>
      <c r="E46" s="143">
        <v>897</v>
      </c>
      <c r="F46" s="143">
        <v>986</v>
      </c>
      <c r="G46" s="143">
        <v>1047</v>
      </c>
      <c r="H46" s="142">
        <v>1091</v>
      </c>
      <c r="I46" s="142">
        <v>1126</v>
      </c>
      <c r="J46" s="142">
        <v>1181</v>
      </c>
      <c r="K46" s="92"/>
      <c r="L46" s="92"/>
      <c r="M46" s="92"/>
    </row>
    <row r="47" spans="1:13" ht="12" customHeight="1" thickBot="1">
      <c r="A47" s="98" t="s">
        <v>27</v>
      </c>
      <c r="B47" s="130" t="s">
        <v>99</v>
      </c>
      <c r="C47" s="99">
        <f>SUM(C45:C46)</f>
        <v>9770</v>
      </c>
      <c r="D47" s="99">
        <f>SUM(D45:D46)</f>
        <v>9899</v>
      </c>
      <c r="E47" s="99">
        <f>SUM(E45:E46)</f>
        <v>9391</v>
      </c>
      <c r="F47" s="99">
        <f>SUM(F45:F46)</f>
        <v>8774</v>
      </c>
      <c r="G47" s="99">
        <f>SUM(G45:G46)</f>
        <v>8735</v>
      </c>
      <c r="H47" s="99">
        <f t="shared" ref="H47:J47" si="6">SUM(H45:H46)</f>
        <v>8628</v>
      </c>
      <c r="I47" s="99">
        <f t="shared" si="6"/>
        <v>8420</v>
      </c>
      <c r="J47" s="99">
        <f t="shared" si="6"/>
        <v>8407</v>
      </c>
      <c r="K47" s="92"/>
      <c r="L47" s="92"/>
      <c r="M47" s="92"/>
    </row>
    <row r="48" spans="1:13" ht="12" customHeight="1">
      <c r="A48" s="93"/>
      <c r="B48" s="126"/>
      <c r="C48" s="94"/>
      <c r="D48" s="94"/>
      <c r="E48" s="94"/>
      <c r="F48" s="94"/>
      <c r="G48" s="94"/>
      <c r="H48" s="108"/>
      <c r="I48" s="108"/>
      <c r="J48" s="108"/>
      <c r="K48" s="92"/>
      <c r="L48" s="92"/>
      <c r="M48" s="92"/>
    </row>
    <row r="49" spans="1:13" ht="12" customHeight="1">
      <c r="A49" s="177" t="s">
        <v>102</v>
      </c>
      <c r="B49" s="191"/>
      <c r="C49" s="192"/>
      <c r="D49" s="192"/>
      <c r="E49" s="192"/>
      <c r="F49" s="192"/>
      <c r="G49" s="192"/>
      <c r="H49" s="186"/>
      <c r="I49" s="186"/>
      <c r="J49" s="186"/>
      <c r="K49" s="92"/>
      <c r="L49" s="92"/>
      <c r="M49" s="92"/>
    </row>
    <row r="50" spans="1:13" ht="12" customHeight="1">
      <c r="A50" s="93" t="s">
        <v>22</v>
      </c>
      <c r="B50" s="126" t="s">
        <v>99</v>
      </c>
      <c r="C50" s="541">
        <f>1635.9+152.4+283.3</f>
        <v>2071.6000000000004</v>
      </c>
      <c r="D50" s="541">
        <v>1983.6</v>
      </c>
      <c r="E50" s="95">
        <v>1712</v>
      </c>
      <c r="F50" s="95">
        <v>1711.9</v>
      </c>
      <c r="G50" s="95">
        <v>1540</v>
      </c>
      <c r="H50" s="128">
        <v>1545</v>
      </c>
      <c r="I50" s="128">
        <v>1468</v>
      </c>
      <c r="J50" s="128">
        <v>1370</v>
      </c>
      <c r="K50" s="225"/>
      <c r="L50" s="92"/>
      <c r="M50" s="225"/>
    </row>
    <row r="51" spans="1:13" ht="12" customHeight="1">
      <c r="A51" s="96" t="s">
        <v>67</v>
      </c>
      <c r="B51" s="141" t="s">
        <v>99</v>
      </c>
      <c r="C51" s="143">
        <v>677</v>
      </c>
      <c r="D51" s="143">
        <v>1239</v>
      </c>
      <c r="E51" s="143">
        <v>1208</v>
      </c>
      <c r="F51" s="143">
        <v>1197</v>
      </c>
      <c r="G51" s="143">
        <v>1230</v>
      </c>
      <c r="H51" s="142">
        <v>1221</v>
      </c>
      <c r="I51" s="110">
        <v>914</v>
      </c>
      <c r="J51" s="110">
        <v>798</v>
      </c>
      <c r="K51" s="92"/>
      <c r="L51" s="92"/>
      <c r="M51" s="225"/>
    </row>
    <row r="52" spans="1:13" ht="12" customHeight="1" thickBot="1">
      <c r="A52" s="98" t="s">
        <v>27</v>
      </c>
      <c r="B52" s="130" t="s">
        <v>99</v>
      </c>
      <c r="C52" s="99">
        <f>SUM(C50:C51)</f>
        <v>2748.6000000000004</v>
      </c>
      <c r="D52" s="99">
        <f>SUM(D50:D51)</f>
        <v>3222.6</v>
      </c>
      <c r="E52" s="99">
        <f>SUM(E50:E51)</f>
        <v>2920</v>
      </c>
      <c r="F52" s="99">
        <f>SUM(F50:F51)</f>
        <v>2908.9</v>
      </c>
      <c r="G52" s="99">
        <f>SUM(G50:G51)</f>
        <v>2770</v>
      </c>
      <c r="H52" s="99">
        <f t="shared" ref="H52:J52" si="7">SUM(H50:H51)</f>
        <v>2766</v>
      </c>
      <c r="I52" s="99">
        <f t="shared" si="7"/>
        <v>2382</v>
      </c>
      <c r="J52" s="99">
        <f t="shared" si="7"/>
        <v>2168</v>
      </c>
      <c r="K52" s="144"/>
      <c r="L52" s="144"/>
      <c r="M52" s="144"/>
    </row>
    <row r="53" spans="1:13" ht="12" customHeight="1">
      <c r="A53" s="107"/>
      <c r="B53" s="145"/>
      <c r="C53" s="100"/>
      <c r="D53" s="100"/>
      <c r="E53" s="100"/>
      <c r="F53" s="100"/>
      <c r="G53" s="100"/>
      <c r="H53" s="146"/>
      <c r="I53" s="146"/>
      <c r="J53" s="146"/>
      <c r="K53" s="144"/>
      <c r="L53" s="144"/>
      <c r="M53" s="144"/>
    </row>
    <row r="54" spans="1:13" ht="12" customHeight="1">
      <c r="A54" s="186" t="s">
        <v>103</v>
      </c>
      <c r="B54" s="187"/>
      <c r="C54" s="182"/>
      <c r="D54" s="182"/>
      <c r="E54" s="182"/>
      <c r="F54" s="182"/>
      <c r="G54" s="182"/>
      <c r="H54" s="180"/>
      <c r="I54" s="182"/>
      <c r="J54" s="182"/>
      <c r="K54" s="92"/>
      <c r="L54" s="92"/>
      <c r="M54" s="92"/>
    </row>
    <row r="55" spans="1:13" ht="12" customHeight="1">
      <c r="A55" s="177" t="s">
        <v>104</v>
      </c>
      <c r="B55" s="191"/>
      <c r="C55" s="192"/>
      <c r="D55" s="192"/>
      <c r="E55" s="192"/>
      <c r="F55" s="192"/>
      <c r="G55" s="192"/>
      <c r="H55" s="186"/>
      <c r="I55" s="186"/>
      <c r="J55" s="186"/>
      <c r="K55" s="144"/>
      <c r="L55" s="144"/>
      <c r="M55" s="144"/>
    </row>
    <row r="56" spans="1:13" ht="12" customHeight="1">
      <c r="A56" s="93" t="s">
        <v>22</v>
      </c>
      <c r="B56" s="126" t="s">
        <v>99</v>
      </c>
      <c r="C56" s="265">
        <v>88.1</v>
      </c>
      <c r="D56" s="265">
        <v>245</v>
      </c>
      <c r="E56" s="265">
        <v>0</v>
      </c>
      <c r="F56" s="265">
        <v>171</v>
      </c>
      <c r="G56" s="94">
        <v>0</v>
      </c>
      <c r="H56" s="108">
        <v>77</v>
      </c>
      <c r="I56" s="108">
        <v>98</v>
      </c>
      <c r="J56" s="108">
        <v>203</v>
      </c>
      <c r="K56" s="144"/>
      <c r="L56" s="144"/>
      <c r="M56" s="144"/>
    </row>
    <row r="57" spans="1:13" ht="12" customHeight="1">
      <c r="A57" s="96" t="s">
        <v>67</v>
      </c>
      <c r="B57" s="141" t="s">
        <v>99</v>
      </c>
      <c r="C57" s="269">
        <v>45</v>
      </c>
      <c r="D57" s="269">
        <v>31</v>
      </c>
      <c r="E57" s="269">
        <v>60</v>
      </c>
      <c r="F57" s="269">
        <v>38</v>
      </c>
      <c r="G57" s="147">
        <v>54</v>
      </c>
      <c r="H57" s="110">
        <v>234</v>
      </c>
      <c r="I57" s="110">
        <v>161</v>
      </c>
      <c r="J57" s="110">
        <v>135</v>
      </c>
      <c r="K57" s="144"/>
      <c r="L57" s="144"/>
      <c r="M57" s="144"/>
    </row>
    <row r="58" spans="1:13" ht="12" customHeight="1" thickBot="1">
      <c r="A58" s="98" t="s">
        <v>27</v>
      </c>
      <c r="B58" s="130" t="s">
        <v>99</v>
      </c>
      <c r="C58" s="266">
        <f>SUM(C56:C57)</f>
        <v>133.1</v>
      </c>
      <c r="D58" s="266">
        <f>SUM(D56:D57)</f>
        <v>276</v>
      </c>
      <c r="E58" s="266">
        <f>SUM(E56:E57)</f>
        <v>60</v>
      </c>
      <c r="F58" s="266">
        <f>SUM(F56:F57)</f>
        <v>209</v>
      </c>
      <c r="G58" s="101">
        <f>SUM(G56:G57)</f>
        <v>54</v>
      </c>
      <c r="H58" s="101">
        <f t="shared" ref="H58:J58" si="8">SUM(H56:H57)</f>
        <v>311</v>
      </c>
      <c r="I58" s="101">
        <f t="shared" si="8"/>
        <v>259</v>
      </c>
      <c r="J58" s="101">
        <f t="shared" si="8"/>
        <v>338</v>
      </c>
      <c r="K58" s="144"/>
      <c r="L58" s="144"/>
      <c r="M58" s="144"/>
    </row>
    <row r="59" spans="1:13" ht="12" customHeight="1">
      <c r="A59" s="93"/>
      <c r="B59" s="126"/>
      <c r="C59" s="94"/>
      <c r="D59" s="94"/>
      <c r="E59" s="94"/>
      <c r="F59" s="94"/>
      <c r="G59" s="94"/>
      <c r="H59" s="108"/>
      <c r="I59" s="108"/>
      <c r="J59" s="108"/>
      <c r="K59" s="92"/>
      <c r="L59" s="92"/>
      <c r="M59" s="92"/>
    </row>
    <row r="60" spans="1:13" ht="12" customHeight="1">
      <c r="A60" s="393" t="s">
        <v>105</v>
      </c>
      <c r="B60" s="196"/>
      <c r="C60" s="197"/>
      <c r="D60" s="197"/>
      <c r="E60" s="197"/>
      <c r="F60" s="197"/>
      <c r="G60" s="197"/>
      <c r="H60" s="196"/>
      <c r="I60" s="196"/>
      <c r="J60" s="196"/>
      <c r="K60" s="92"/>
      <c r="L60" s="92"/>
      <c r="M60" s="92"/>
    </row>
    <row r="61" spans="1:13" ht="12" customHeight="1">
      <c r="A61" s="93" t="s">
        <v>22</v>
      </c>
      <c r="B61" s="126" t="s">
        <v>99</v>
      </c>
      <c r="C61" s="94">
        <v>927</v>
      </c>
      <c r="D61" s="94">
        <v>927</v>
      </c>
      <c r="E61" s="94">
        <v>927</v>
      </c>
      <c r="F61" s="94">
        <v>927</v>
      </c>
      <c r="G61" s="94">
        <v>927</v>
      </c>
      <c r="H61" s="108">
        <v>927</v>
      </c>
      <c r="I61" s="94" t="s">
        <v>33</v>
      </c>
      <c r="J61" s="94" t="s">
        <v>33</v>
      </c>
      <c r="K61" s="92"/>
      <c r="L61" s="92"/>
      <c r="M61" s="92"/>
    </row>
    <row r="62" spans="1:13" ht="12" customHeight="1">
      <c r="A62" s="148" t="s">
        <v>67</v>
      </c>
      <c r="B62" s="149" t="s">
        <v>99</v>
      </c>
      <c r="C62" s="147">
        <v>215</v>
      </c>
      <c r="D62" s="147">
        <v>563</v>
      </c>
      <c r="E62" s="147">
        <v>559</v>
      </c>
      <c r="F62" s="147">
        <v>559</v>
      </c>
      <c r="G62" s="147">
        <v>416</v>
      </c>
      <c r="H62" s="150">
        <v>416</v>
      </c>
      <c r="I62" s="147" t="s">
        <v>33</v>
      </c>
      <c r="J62" s="147" t="s">
        <v>33</v>
      </c>
      <c r="K62" s="92"/>
      <c r="L62" s="92"/>
      <c r="M62" s="92"/>
    </row>
    <row r="63" spans="1:13" ht="12" customHeight="1" thickBot="1">
      <c r="A63" s="151" t="s">
        <v>27</v>
      </c>
      <c r="B63" s="152" t="s">
        <v>99</v>
      </c>
      <c r="C63" s="99">
        <f t="shared" ref="C63:H63" si="9">SUM(C61:C62)</f>
        <v>1142</v>
      </c>
      <c r="D63" s="99">
        <f t="shared" si="9"/>
        <v>1490</v>
      </c>
      <c r="E63" s="99">
        <f t="shared" si="9"/>
        <v>1486</v>
      </c>
      <c r="F63" s="99">
        <f t="shared" si="9"/>
        <v>1486</v>
      </c>
      <c r="G63" s="99">
        <f t="shared" si="9"/>
        <v>1343</v>
      </c>
      <c r="H63" s="99">
        <f t="shared" si="9"/>
        <v>1343</v>
      </c>
      <c r="I63" s="101" t="s">
        <v>33</v>
      </c>
      <c r="J63" s="101" t="s">
        <v>33</v>
      </c>
      <c r="K63" s="92"/>
      <c r="L63" s="92"/>
      <c r="M63" s="92"/>
    </row>
    <row r="64" spans="1:13" ht="12" customHeight="1">
      <c r="A64" s="153"/>
      <c r="B64" s="126"/>
      <c r="C64" s="94"/>
      <c r="D64" s="94"/>
      <c r="E64" s="94"/>
      <c r="F64" s="94"/>
      <c r="G64" s="94"/>
      <c r="H64" s="108"/>
      <c r="I64" s="94"/>
      <c r="J64" s="94"/>
      <c r="K64" s="92"/>
      <c r="L64" s="92"/>
      <c r="M64" s="92"/>
    </row>
    <row r="65" spans="1:13" ht="12" customHeight="1">
      <c r="A65" s="177" t="s">
        <v>106</v>
      </c>
      <c r="B65" s="198"/>
      <c r="C65" s="199"/>
      <c r="D65" s="199"/>
      <c r="E65" s="199"/>
      <c r="F65" s="199"/>
      <c r="G65" s="199"/>
      <c r="H65" s="198"/>
      <c r="I65" s="198"/>
      <c r="J65" s="198"/>
      <c r="K65" s="92"/>
      <c r="L65" s="92"/>
      <c r="M65" s="92"/>
    </row>
    <row r="66" spans="1:13" ht="12" customHeight="1">
      <c r="A66" s="93" t="s">
        <v>22</v>
      </c>
      <c r="B66" s="126" t="s">
        <v>99</v>
      </c>
      <c r="C66" s="95">
        <v>13634</v>
      </c>
      <c r="D66" s="95">
        <v>13634</v>
      </c>
      <c r="E66" s="95">
        <v>13634</v>
      </c>
      <c r="F66" s="95">
        <v>13634</v>
      </c>
      <c r="G66" s="95">
        <v>13634</v>
      </c>
      <c r="H66" s="128">
        <v>13634</v>
      </c>
      <c r="I66" s="94" t="s">
        <v>33</v>
      </c>
      <c r="J66" s="94" t="s">
        <v>33</v>
      </c>
      <c r="K66" s="92"/>
      <c r="L66" s="92"/>
      <c r="M66" s="92"/>
    </row>
    <row r="67" spans="1:13" ht="12" customHeight="1">
      <c r="A67" s="96" t="s">
        <v>67</v>
      </c>
      <c r="B67" s="141" t="s">
        <v>99</v>
      </c>
      <c r="C67" s="147">
        <v>0</v>
      </c>
      <c r="D67" s="147">
        <v>0</v>
      </c>
      <c r="E67" s="147">
        <v>0</v>
      </c>
      <c r="F67" s="147">
        <v>0</v>
      </c>
      <c r="G67" s="147">
        <v>0</v>
      </c>
      <c r="H67" s="110">
        <v>0</v>
      </c>
      <c r="I67" s="97" t="s">
        <v>33</v>
      </c>
      <c r="J67" s="97" t="s">
        <v>33</v>
      </c>
      <c r="K67" s="92"/>
      <c r="L67" s="92"/>
      <c r="M67" s="92"/>
    </row>
    <row r="68" spans="1:13" ht="12" customHeight="1" thickBot="1">
      <c r="A68" s="98" t="s">
        <v>27</v>
      </c>
      <c r="B68" s="130" t="s">
        <v>99</v>
      </c>
      <c r="C68" s="99">
        <f t="shared" ref="C68:H68" si="10">SUM(C66:C67)</f>
        <v>13634</v>
      </c>
      <c r="D68" s="99">
        <f t="shared" si="10"/>
        <v>13634</v>
      </c>
      <c r="E68" s="99">
        <f t="shared" si="10"/>
        <v>13634</v>
      </c>
      <c r="F68" s="99">
        <f t="shared" si="10"/>
        <v>13634</v>
      </c>
      <c r="G68" s="99">
        <f t="shared" si="10"/>
        <v>13634</v>
      </c>
      <c r="H68" s="99">
        <f t="shared" si="10"/>
        <v>13634</v>
      </c>
      <c r="I68" s="101" t="s">
        <v>33</v>
      </c>
      <c r="J68" s="101" t="s">
        <v>33</v>
      </c>
      <c r="K68" s="92"/>
      <c r="L68" s="92"/>
      <c r="M68" s="92"/>
    </row>
    <row r="69" spans="1:13" ht="12" customHeight="1">
      <c r="A69" s="186" t="s">
        <v>107</v>
      </c>
      <c r="B69" s="186"/>
      <c r="C69" s="186"/>
      <c r="D69" s="186"/>
      <c r="E69" s="186"/>
      <c r="F69" s="186"/>
      <c r="G69" s="186"/>
      <c r="H69" s="186"/>
      <c r="I69" s="186"/>
      <c r="J69" s="186"/>
      <c r="K69" s="92"/>
      <c r="L69" s="92"/>
      <c r="M69" s="92"/>
    </row>
    <row r="70" spans="1:13" ht="12" customHeight="1">
      <c r="A70" s="393" t="s">
        <v>108</v>
      </c>
      <c r="B70" s="200"/>
      <c r="C70" s="200"/>
      <c r="D70" s="200"/>
      <c r="E70" s="200"/>
      <c r="F70" s="200"/>
      <c r="G70" s="201"/>
      <c r="H70" s="202"/>
      <c r="I70" s="202"/>
      <c r="J70" s="202"/>
      <c r="K70" s="88"/>
      <c r="L70" s="88"/>
      <c r="M70" s="88"/>
    </row>
    <row r="71" spans="1:13" ht="12" customHeight="1">
      <c r="A71" s="102" t="s">
        <v>109</v>
      </c>
      <c r="B71" s="165" t="s">
        <v>110</v>
      </c>
      <c r="C71" s="127">
        <f>SUM(C72:C75)</f>
        <v>2775.58</v>
      </c>
      <c r="D71" s="127">
        <f>SUM(D72:D75)</f>
        <v>2959.39</v>
      </c>
      <c r="E71" s="127">
        <f>SUM(E72:E75)</f>
        <v>3598.3</v>
      </c>
      <c r="F71" s="127">
        <f>SUM(F72:F75)</f>
        <v>2240.96</v>
      </c>
      <c r="G71" s="127">
        <v>1959</v>
      </c>
      <c r="H71" s="290">
        <v>2644</v>
      </c>
      <c r="I71" s="290">
        <v>4597</v>
      </c>
      <c r="J71" s="290">
        <v>3492</v>
      </c>
      <c r="K71" s="92"/>
      <c r="L71" s="92"/>
      <c r="M71" s="92"/>
    </row>
    <row r="72" spans="1:13" ht="12" customHeight="1">
      <c r="A72" s="93" t="s">
        <v>111</v>
      </c>
      <c r="B72" s="126" t="s">
        <v>110</v>
      </c>
      <c r="C72" s="95">
        <f>1250.44+188.5</f>
        <v>1438.94</v>
      </c>
      <c r="D72" s="95">
        <f>892.84</f>
        <v>892.84</v>
      </c>
      <c r="E72" s="95">
        <v>1105</v>
      </c>
      <c r="F72" s="95">
        <v>1325.82</v>
      </c>
      <c r="G72" s="95" t="s">
        <v>33</v>
      </c>
      <c r="H72" s="309" t="s">
        <v>33</v>
      </c>
      <c r="I72" s="309" t="s">
        <v>33</v>
      </c>
      <c r="J72" s="309" t="s">
        <v>33</v>
      </c>
      <c r="K72" s="92"/>
      <c r="L72" s="92"/>
      <c r="M72" s="92"/>
    </row>
    <row r="73" spans="1:13" ht="12" customHeight="1">
      <c r="A73" s="96" t="s">
        <v>112</v>
      </c>
      <c r="B73" s="129" t="s">
        <v>110</v>
      </c>
      <c r="C73" s="111">
        <v>255</v>
      </c>
      <c r="D73" s="111">
        <v>262.08</v>
      </c>
      <c r="E73" s="111">
        <v>695</v>
      </c>
      <c r="F73" s="111">
        <v>490.27</v>
      </c>
      <c r="G73" s="309" t="s">
        <v>33</v>
      </c>
      <c r="H73" s="309" t="s">
        <v>33</v>
      </c>
      <c r="I73" s="309" t="s">
        <v>33</v>
      </c>
      <c r="J73" s="309" t="s">
        <v>33</v>
      </c>
      <c r="K73" s="92"/>
      <c r="L73" s="92"/>
      <c r="M73" s="92"/>
    </row>
    <row r="74" spans="1:13" ht="12" customHeight="1">
      <c r="A74" s="96" t="s">
        <v>113</v>
      </c>
      <c r="B74" s="126" t="s">
        <v>110</v>
      </c>
      <c r="C74" s="95">
        <v>0</v>
      </c>
      <c r="D74" s="95">
        <v>0</v>
      </c>
      <c r="E74" s="95">
        <v>67.3</v>
      </c>
      <c r="F74" s="95">
        <v>9.6999999999999993</v>
      </c>
      <c r="G74" s="309" t="s">
        <v>33</v>
      </c>
      <c r="H74" s="309" t="s">
        <v>33</v>
      </c>
      <c r="I74" s="309" t="s">
        <v>33</v>
      </c>
      <c r="J74" s="309" t="s">
        <v>33</v>
      </c>
      <c r="K74" s="92"/>
      <c r="L74" s="92"/>
      <c r="M74" s="92"/>
    </row>
    <row r="75" spans="1:13" ht="12" customHeight="1">
      <c r="A75" s="93" t="s">
        <v>114</v>
      </c>
      <c r="B75" s="129" t="s">
        <v>110</v>
      </c>
      <c r="C75" s="403">
        <f>1034+47.64</f>
        <v>1081.6400000000001</v>
      </c>
      <c r="D75" s="403">
        <f>584.68+1219.79</f>
        <v>1804.4699999999998</v>
      </c>
      <c r="E75" s="111">
        <v>1731</v>
      </c>
      <c r="F75" s="111">
        <v>415.17</v>
      </c>
      <c r="G75" s="309" t="s">
        <v>33</v>
      </c>
      <c r="H75" s="309" t="s">
        <v>33</v>
      </c>
      <c r="I75" s="309" t="s">
        <v>33</v>
      </c>
      <c r="J75" s="309" t="s">
        <v>33</v>
      </c>
      <c r="K75" s="92"/>
      <c r="L75" s="92"/>
      <c r="M75" s="92"/>
    </row>
    <row r="76" spans="1:13" ht="12" customHeight="1">
      <c r="A76" s="96"/>
      <c r="B76" s="126"/>
      <c r="C76" s="95"/>
      <c r="D76" s="95"/>
      <c r="E76" s="95"/>
      <c r="F76" s="95"/>
      <c r="G76" s="309"/>
      <c r="H76" s="309"/>
      <c r="I76" s="309"/>
      <c r="J76" s="309"/>
      <c r="K76" s="92"/>
      <c r="L76" s="92"/>
      <c r="M76" s="92"/>
    </row>
    <row r="77" spans="1:13" ht="12" customHeight="1">
      <c r="A77" s="291" t="s">
        <v>67</v>
      </c>
      <c r="B77" s="141" t="s">
        <v>110</v>
      </c>
      <c r="C77" s="143">
        <f>SUM(C78:C79)</f>
        <v>3870</v>
      </c>
      <c r="D77" s="143">
        <f>SUM(D78:D79)</f>
        <v>4276</v>
      </c>
      <c r="E77" s="143">
        <v>3641</v>
      </c>
      <c r="F77" s="143">
        <v>3408</v>
      </c>
      <c r="G77" s="143">
        <v>3959</v>
      </c>
      <c r="H77" s="292">
        <v>3076</v>
      </c>
      <c r="I77" s="292">
        <v>4993</v>
      </c>
      <c r="J77" s="292">
        <v>3403</v>
      </c>
      <c r="K77" s="92"/>
      <c r="L77" s="92"/>
      <c r="M77" s="92"/>
    </row>
    <row r="78" spans="1:13" ht="12" customHeight="1">
      <c r="A78" s="96" t="s">
        <v>115</v>
      </c>
      <c r="B78" s="129" t="s">
        <v>110</v>
      </c>
      <c r="C78" s="111">
        <v>3870</v>
      </c>
      <c r="D78" s="111">
        <v>4276</v>
      </c>
      <c r="E78" s="111">
        <v>3641</v>
      </c>
      <c r="F78" s="111">
        <v>3408</v>
      </c>
      <c r="G78" s="309" t="s">
        <v>33</v>
      </c>
      <c r="H78" s="309" t="s">
        <v>33</v>
      </c>
      <c r="I78" s="309" t="s">
        <v>33</v>
      </c>
      <c r="J78" s="309" t="s">
        <v>33</v>
      </c>
      <c r="K78" s="92"/>
      <c r="L78" s="92"/>
      <c r="M78" s="92"/>
    </row>
    <row r="79" spans="1:13" ht="12" customHeight="1">
      <c r="A79" s="93" t="s">
        <v>116</v>
      </c>
      <c r="B79" s="126" t="s">
        <v>110</v>
      </c>
      <c r="C79" s="95">
        <v>0</v>
      </c>
      <c r="D79" s="95">
        <v>0</v>
      </c>
      <c r="E79" s="95">
        <v>0</v>
      </c>
      <c r="F79" s="95">
        <v>0</v>
      </c>
      <c r="G79" s="309" t="s">
        <v>33</v>
      </c>
      <c r="H79" s="309" t="s">
        <v>33</v>
      </c>
      <c r="I79" s="309" t="s">
        <v>33</v>
      </c>
      <c r="J79" s="309" t="s">
        <v>33</v>
      </c>
      <c r="K79" s="92"/>
      <c r="L79" s="92"/>
      <c r="M79" s="92"/>
    </row>
    <row r="80" spans="1:13" ht="12" customHeight="1" thickBot="1">
      <c r="A80" s="98" t="s">
        <v>27</v>
      </c>
      <c r="B80" s="130" t="s">
        <v>110</v>
      </c>
      <c r="C80" s="99">
        <f t="shared" ref="C80:J80" si="11">C71+C77</f>
        <v>6645.58</v>
      </c>
      <c r="D80" s="99">
        <f t="shared" ref="D80" si="12">D71+D77</f>
        <v>7235.3899999999994</v>
      </c>
      <c r="E80" s="99">
        <f t="shared" si="11"/>
        <v>7239.3</v>
      </c>
      <c r="F80" s="99">
        <f t="shared" si="11"/>
        <v>5648.96</v>
      </c>
      <c r="G80" s="99">
        <f t="shared" si="11"/>
        <v>5918</v>
      </c>
      <c r="H80" s="99">
        <f t="shared" si="11"/>
        <v>5720</v>
      </c>
      <c r="I80" s="99">
        <f t="shared" si="11"/>
        <v>9590</v>
      </c>
      <c r="J80" s="99">
        <f t="shared" si="11"/>
        <v>6895</v>
      </c>
      <c r="K80" s="92"/>
      <c r="L80" s="92"/>
      <c r="M80" s="92"/>
    </row>
    <row r="81" spans="1:15" ht="12" customHeight="1">
      <c r="A81" s="153"/>
      <c r="B81" s="126"/>
      <c r="C81" s="94"/>
      <c r="D81" s="94"/>
      <c r="E81" s="94"/>
      <c r="F81" s="94"/>
      <c r="G81" s="94"/>
      <c r="H81" s="108"/>
      <c r="I81" s="108"/>
      <c r="J81" s="108"/>
      <c r="K81" s="92"/>
      <c r="L81" s="92"/>
      <c r="M81" s="92"/>
    </row>
    <row r="82" spans="1:15" ht="12" customHeight="1">
      <c r="A82" s="393" t="s">
        <v>117</v>
      </c>
      <c r="B82" s="196"/>
      <c r="C82" s="197"/>
      <c r="D82" s="197"/>
      <c r="E82" s="197"/>
      <c r="F82" s="197"/>
      <c r="G82" s="197"/>
      <c r="H82" s="196"/>
      <c r="I82" s="196"/>
      <c r="J82" s="196"/>
      <c r="K82" s="92"/>
      <c r="L82" s="92"/>
      <c r="M82" s="92"/>
    </row>
    <row r="83" spans="1:15" ht="12" customHeight="1">
      <c r="A83" s="93" t="s">
        <v>109</v>
      </c>
      <c r="B83" s="126" t="s">
        <v>110</v>
      </c>
      <c r="C83" s="95">
        <f>SUM(C84:C93)</f>
        <v>975</v>
      </c>
      <c r="D83" s="95">
        <f>SUM(D84:D93)</f>
        <v>2079.94</v>
      </c>
      <c r="E83" s="95">
        <f>SUM(E84:E93)</f>
        <v>5324.53</v>
      </c>
      <c r="F83" s="95">
        <v>2579</v>
      </c>
      <c r="G83" s="95">
        <v>1806</v>
      </c>
      <c r="H83" s="128">
        <v>4789</v>
      </c>
      <c r="I83" s="128">
        <v>3816</v>
      </c>
      <c r="J83" s="128">
        <v>6262</v>
      </c>
      <c r="K83" s="92"/>
      <c r="L83" s="225"/>
      <c r="M83" s="92"/>
      <c r="O83" s="585"/>
    </row>
    <row r="84" spans="1:15" ht="12" customHeight="1">
      <c r="A84" s="96" t="s">
        <v>118</v>
      </c>
      <c r="B84" s="129" t="s">
        <v>110</v>
      </c>
      <c r="C84" s="111">
        <v>525</v>
      </c>
      <c r="D84" s="111">
        <v>904.16</v>
      </c>
      <c r="E84" s="111">
        <v>531</v>
      </c>
      <c r="F84" s="111">
        <v>652.87599999999998</v>
      </c>
      <c r="G84" s="309" t="s">
        <v>33</v>
      </c>
      <c r="H84" s="309" t="s">
        <v>33</v>
      </c>
      <c r="I84" s="309" t="s">
        <v>33</v>
      </c>
      <c r="J84" s="309" t="s">
        <v>33</v>
      </c>
      <c r="K84" s="92"/>
      <c r="L84" s="92"/>
      <c r="M84" s="92"/>
    </row>
    <row r="85" spans="1:15" ht="12" customHeight="1">
      <c r="A85" s="93" t="s">
        <v>119</v>
      </c>
      <c r="B85" s="126" t="s">
        <v>110</v>
      </c>
      <c r="C85" s="95">
        <v>27</v>
      </c>
      <c r="D85" s="95">
        <v>27.2</v>
      </c>
      <c r="E85" s="95">
        <v>26</v>
      </c>
      <c r="F85" s="95">
        <v>28.05</v>
      </c>
      <c r="G85" s="309" t="s">
        <v>33</v>
      </c>
      <c r="H85" s="309" t="s">
        <v>33</v>
      </c>
      <c r="I85" s="309" t="s">
        <v>33</v>
      </c>
      <c r="J85" s="309" t="s">
        <v>33</v>
      </c>
      <c r="K85" s="92"/>
      <c r="L85" s="92"/>
      <c r="M85" s="92"/>
    </row>
    <row r="86" spans="1:15" ht="12" customHeight="1">
      <c r="A86" s="96" t="s">
        <v>120</v>
      </c>
      <c r="B86" s="129" t="s">
        <v>110</v>
      </c>
      <c r="C86" s="111">
        <v>80</v>
      </c>
      <c r="D86" s="111">
        <v>81.25</v>
      </c>
      <c r="E86" s="111">
        <v>78</v>
      </c>
      <c r="F86" s="111">
        <v>71.069999999999993</v>
      </c>
      <c r="G86" s="309" t="s">
        <v>33</v>
      </c>
      <c r="H86" s="309" t="s">
        <v>33</v>
      </c>
      <c r="I86" s="309" t="s">
        <v>33</v>
      </c>
      <c r="J86" s="309" t="s">
        <v>33</v>
      </c>
      <c r="K86" s="92"/>
      <c r="L86" s="92"/>
      <c r="M86" s="92"/>
    </row>
    <row r="87" spans="1:15" ht="12" customHeight="1">
      <c r="A87" s="93" t="s">
        <v>121</v>
      </c>
      <c r="B87" s="126" t="s">
        <v>110</v>
      </c>
      <c r="C87" s="95">
        <f>197+73</f>
        <v>270</v>
      </c>
      <c r="D87" s="95">
        <v>888.2</v>
      </c>
      <c r="E87" s="95">
        <v>4411.53</v>
      </c>
      <c r="F87" s="95">
        <v>1393.73</v>
      </c>
      <c r="G87" s="309" t="s">
        <v>33</v>
      </c>
      <c r="H87" s="309" t="s">
        <v>33</v>
      </c>
      <c r="I87" s="309" t="s">
        <v>33</v>
      </c>
      <c r="J87" s="309" t="s">
        <v>33</v>
      </c>
      <c r="K87" s="92"/>
      <c r="L87" s="92"/>
      <c r="M87" s="92"/>
    </row>
    <row r="88" spans="1:15" ht="12" customHeight="1">
      <c r="A88" s="96" t="s">
        <v>122</v>
      </c>
      <c r="B88" s="129" t="s">
        <v>110</v>
      </c>
      <c r="C88" s="111">
        <v>3</v>
      </c>
      <c r="D88" s="111">
        <v>4.38</v>
      </c>
      <c r="E88" s="111">
        <v>3</v>
      </c>
      <c r="F88" s="111">
        <v>1.17</v>
      </c>
      <c r="G88" s="309" t="s">
        <v>33</v>
      </c>
      <c r="H88" s="309" t="s">
        <v>33</v>
      </c>
      <c r="I88" s="309" t="s">
        <v>33</v>
      </c>
      <c r="J88" s="309" t="s">
        <v>33</v>
      </c>
      <c r="K88" s="92"/>
      <c r="L88" s="92"/>
      <c r="M88" s="92"/>
    </row>
    <row r="89" spans="1:15" ht="12" customHeight="1">
      <c r="A89" s="93" t="s">
        <v>123</v>
      </c>
      <c r="B89" s="126" t="s">
        <v>110</v>
      </c>
      <c r="C89" s="95">
        <v>0</v>
      </c>
      <c r="D89" s="95">
        <f>5.7+8.25</f>
        <v>13.95</v>
      </c>
      <c r="E89" s="95">
        <v>33</v>
      </c>
      <c r="F89" s="95">
        <v>74</v>
      </c>
      <c r="G89" s="309" t="s">
        <v>33</v>
      </c>
      <c r="H89" s="309" t="s">
        <v>33</v>
      </c>
      <c r="I89" s="309" t="s">
        <v>33</v>
      </c>
      <c r="J89" s="309" t="s">
        <v>33</v>
      </c>
      <c r="K89" s="92"/>
      <c r="L89" s="92"/>
      <c r="M89" s="92"/>
    </row>
    <row r="90" spans="1:15" ht="12" customHeight="1">
      <c r="A90" s="96" t="s">
        <v>124</v>
      </c>
      <c r="B90" s="129" t="s">
        <v>110</v>
      </c>
      <c r="C90" s="111">
        <v>13</v>
      </c>
      <c r="D90" s="111">
        <v>49</v>
      </c>
      <c r="E90" s="111">
        <v>0</v>
      </c>
      <c r="F90" s="111">
        <v>50</v>
      </c>
      <c r="G90" s="309" t="s">
        <v>33</v>
      </c>
      <c r="H90" s="309" t="s">
        <v>33</v>
      </c>
      <c r="I90" s="309" t="s">
        <v>33</v>
      </c>
      <c r="J90" s="309" t="s">
        <v>33</v>
      </c>
      <c r="K90" s="92"/>
      <c r="L90" s="92"/>
      <c r="M90" s="92"/>
    </row>
    <row r="91" spans="1:15" ht="12" customHeight="1">
      <c r="A91" s="93" t="s">
        <v>125</v>
      </c>
      <c r="B91" s="126" t="s">
        <v>110</v>
      </c>
      <c r="C91" s="95">
        <v>50</v>
      </c>
      <c r="D91" s="95">
        <v>88.2</v>
      </c>
      <c r="E91" s="95">
        <v>86</v>
      </c>
      <c r="F91" s="95">
        <v>85</v>
      </c>
      <c r="G91" s="309" t="s">
        <v>33</v>
      </c>
      <c r="H91" s="309" t="s">
        <v>33</v>
      </c>
      <c r="I91" s="309" t="s">
        <v>33</v>
      </c>
      <c r="J91" s="309" t="s">
        <v>33</v>
      </c>
      <c r="K91" s="92"/>
      <c r="L91" s="92"/>
      <c r="M91" s="92"/>
    </row>
    <row r="92" spans="1:15" ht="12" customHeight="1">
      <c r="A92" s="96" t="s">
        <v>126</v>
      </c>
      <c r="B92" s="129" t="s">
        <v>110</v>
      </c>
      <c r="C92" s="111">
        <v>4</v>
      </c>
      <c r="D92" s="111">
        <v>5.7</v>
      </c>
      <c r="E92" s="111">
        <v>5</v>
      </c>
      <c r="F92" s="111">
        <v>4.88</v>
      </c>
      <c r="G92" s="309" t="s">
        <v>33</v>
      </c>
      <c r="H92" s="309" t="s">
        <v>33</v>
      </c>
      <c r="I92" s="309" t="s">
        <v>33</v>
      </c>
      <c r="J92" s="309" t="s">
        <v>33</v>
      </c>
      <c r="K92" s="92"/>
      <c r="L92" s="92"/>
      <c r="M92" s="92"/>
    </row>
    <row r="93" spans="1:15" ht="12" customHeight="1">
      <c r="A93" s="93" t="s">
        <v>127</v>
      </c>
      <c r="B93" s="126" t="s">
        <v>110</v>
      </c>
      <c r="C93" s="95">
        <v>3</v>
      </c>
      <c r="D93" s="95">
        <v>17.899999999999999</v>
      </c>
      <c r="E93" s="95">
        <v>151</v>
      </c>
      <c r="F93" s="95">
        <v>218</v>
      </c>
      <c r="G93" s="309" t="s">
        <v>33</v>
      </c>
      <c r="H93" s="309" t="s">
        <v>33</v>
      </c>
      <c r="I93" s="309" t="s">
        <v>33</v>
      </c>
      <c r="J93" s="309" t="s">
        <v>33</v>
      </c>
      <c r="K93" s="92"/>
      <c r="L93" s="92"/>
      <c r="M93" s="92"/>
    </row>
    <row r="94" spans="1:15" ht="12" customHeight="1">
      <c r="A94" s="96"/>
      <c r="B94" s="129"/>
      <c r="C94" s="111"/>
      <c r="D94" s="111"/>
      <c r="E94" s="111"/>
      <c r="F94" s="111"/>
      <c r="G94" s="111"/>
      <c r="H94" s="142"/>
      <c r="I94" s="142"/>
      <c r="J94" s="142"/>
      <c r="K94" s="92"/>
      <c r="L94" s="92"/>
      <c r="M94" s="92"/>
    </row>
    <row r="95" spans="1:15" ht="12" customHeight="1">
      <c r="A95" s="96" t="s">
        <v>128</v>
      </c>
      <c r="B95" s="129" t="s">
        <v>110</v>
      </c>
      <c r="C95" s="111">
        <f>SUM(C96:C100)</f>
        <v>1231.6600000000001</v>
      </c>
      <c r="D95" s="111">
        <f>SUM(D96:D100)</f>
        <v>1400.24</v>
      </c>
      <c r="E95" s="111">
        <f>SUM(E96:E100)</f>
        <v>1024.6199999999999</v>
      </c>
      <c r="F95" s="111">
        <v>1259</v>
      </c>
      <c r="G95" s="111">
        <v>1820</v>
      </c>
      <c r="H95" s="142">
        <v>1346</v>
      </c>
      <c r="I95" s="110">
        <v>800</v>
      </c>
      <c r="J95" s="142">
        <v>1746</v>
      </c>
      <c r="K95" s="92"/>
      <c r="L95" s="92"/>
      <c r="M95" s="92"/>
    </row>
    <row r="96" spans="1:15" ht="12" customHeight="1">
      <c r="A96" s="93" t="s">
        <v>129</v>
      </c>
      <c r="B96" s="126" t="s">
        <v>110</v>
      </c>
      <c r="C96" s="95">
        <v>101</v>
      </c>
      <c r="D96" s="95">
        <v>107</v>
      </c>
      <c r="E96" s="95">
        <v>115</v>
      </c>
      <c r="F96" s="95">
        <v>180</v>
      </c>
      <c r="G96" s="309" t="s">
        <v>33</v>
      </c>
      <c r="H96" s="309" t="s">
        <v>33</v>
      </c>
      <c r="I96" s="309" t="s">
        <v>33</v>
      </c>
      <c r="J96" s="309" t="s">
        <v>33</v>
      </c>
      <c r="K96" s="92"/>
      <c r="L96" s="92"/>
      <c r="M96" s="92"/>
    </row>
    <row r="97" spans="1:13" ht="12" customHeight="1">
      <c r="A97" s="96" t="s">
        <v>121</v>
      </c>
      <c r="B97" s="129" t="s">
        <v>110</v>
      </c>
      <c r="C97" s="111">
        <v>1040</v>
      </c>
      <c r="D97" s="111">
        <v>1093</v>
      </c>
      <c r="E97" s="111">
        <v>786</v>
      </c>
      <c r="F97" s="111">
        <v>912</v>
      </c>
      <c r="G97" s="309" t="s">
        <v>33</v>
      </c>
      <c r="H97" s="309" t="s">
        <v>33</v>
      </c>
      <c r="I97" s="309" t="s">
        <v>33</v>
      </c>
      <c r="J97" s="309" t="s">
        <v>33</v>
      </c>
      <c r="K97" s="92"/>
      <c r="L97" s="92"/>
      <c r="M97" s="92"/>
    </row>
    <row r="98" spans="1:13" ht="12" customHeight="1">
      <c r="A98" s="93" t="s">
        <v>130</v>
      </c>
      <c r="B98" s="126" t="s">
        <v>110</v>
      </c>
      <c r="C98" s="293">
        <v>0.66</v>
      </c>
      <c r="D98" s="293">
        <v>0.24</v>
      </c>
      <c r="E98" s="293">
        <v>0.17</v>
      </c>
      <c r="F98" s="293">
        <v>0.32</v>
      </c>
      <c r="G98" s="309" t="s">
        <v>33</v>
      </c>
      <c r="H98" s="309" t="s">
        <v>33</v>
      </c>
      <c r="I98" s="309" t="s">
        <v>33</v>
      </c>
      <c r="J98" s="309" t="s">
        <v>33</v>
      </c>
      <c r="K98" s="92"/>
      <c r="L98" s="92"/>
      <c r="M98" s="92"/>
    </row>
    <row r="99" spans="1:13" ht="12" customHeight="1">
      <c r="A99" s="96" t="s">
        <v>131</v>
      </c>
      <c r="B99" s="129" t="s">
        <v>110</v>
      </c>
      <c r="C99" s="111">
        <v>2</v>
      </c>
      <c r="D99" s="111">
        <v>94</v>
      </c>
      <c r="E99" s="111">
        <v>34.450000000000003</v>
      </c>
      <c r="F99" s="111">
        <v>56</v>
      </c>
      <c r="G99" s="309" t="s">
        <v>33</v>
      </c>
      <c r="H99" s="309" t="s">
        <v>33</v>
      </c>
      <c r="I99" s="309" t="s">
        <v>33</v>
      </c>
      <c r="J99" s="309" t="s">
        <v>33</v>
      </c>
      <c r="K99" s="92"/>
      <c r="L99" s="92"/>
      <c r="M99" s="92"/>
    </row>
    <row r="100" spans="1:13" ht="12" customHeight="1">
      <c r="A100" s="93" t="s">
        <v>132</v>
      </c>
      <c r="B100" s="126" t="s">
        <v>110</v>
      </c>
      <c r="C100" s="95">
        <v>88</v>
      </c>
      <c r="D100" s="95">
        <v>106</v>
      </c>
      <c r="E100" s="95">
        <v>89</v>
      </c>
      <c r="F100" s="95">
        <v>111</v>
      </c>
      <c r="G100" s="309" t="s">
        <v>33</v>
      </c>
      <c r="H100" s="309" t="s">
        <v>33</v>
      </c>
      <c r="I100" s="309" t="s">
        <v>33</v>
      </c>
      <c r="J100" s="309" t="s">
        <v>33</v>
      </c>
      <c r="K100" s="92"/>
      <c r="L100" s="92"/>
      <c r="M100" s="92"/>
    </row>
    <row r="101" spans="1:13" ht="12" customHeight="1" thickBot="1">
      <c r="A101" s="98" t="s">
        <v>27</v>
      </c>
      <c r="B101" s="130" t="s">
        <v>110</v>
      </c>
      <c r="C101" s="99">
        <f>C95+C83</f>
        <v>2206.66</v>
      </c>
      <c r="D101" s="99">
        <f>D95+D83</f>
        <v>3480.1800000000003</v>
      </c>
      <c r="E101" s="99">
        <v>6350</v>
      </c>
      <c r="F101" s="99">
        <f>F83+F95</f>
        <v>3838</v>
      </c>
      <c r="G101" s="99">
        <f>G83+G95</f>
        <v>3626</v>
      </c>
      <c r="H101" s="99">
        <f>H83+H95</f>
        <v>6135</v>
      </c>
      <c r="I101" s="99">
        <f>I83+I95</f>
        <v>4616</v>
      </c>
      <c r="J101" s="99">
        <f>J83+J95</f>
        <v>8008</v>
      </c>
      <c r="K101" s="92"/>
      <c r="L101" s="92"/>
      <c r="M101" s="92"/>
    </row>
    <row r="102" spans="1:13" ht="12" customHeight="1">
      <c r="A102" s="153"/>
      <c r="B102" s="126"/>
      <c r="C102" s="94"/>
      <c r="D102" s="94"/>
      <c r="E102" s="94"/>
      <c r="F102" s="94"/>
      <c r="G102" s="94"/>
      <c r="H102" s="108"/>
      <c r="I102" s="108"/>
      <c r="J102" s="108"/>
      <c r="K102" s="92"/>
      <c r="L102" s="92"/>
      <c r="M102" s="92"/>
    </row>
    <row r="103" spans="1:13" ht="12" customHeight="1">
      <c r="A103" s="109" t="s">
        <v>133</v>
      </c>
      <c r="B103" s="136" t="s">
        <v>89</v>
      </c>
      <c r="C103" s="271">
        <f>C80/(C101+C80)</f>
        <v>0.75072298085004474</v>
      </c>
      <c r="D103" s="271">
        <f>D80/(D101+D80)</f>
        <v>0.6752221300406791</v>
      </c>
      <c r="E103" s="271">
        <f>E80/(E101+E80)</f>
        <v>0.53272059635154134</v>
      </c>
      <c r="F103" s="271">
        <f>F80/(F101+F80)</f>
        <v>0.59544469461239435</v>
      </c>
      <c r="G103" s="163">
        <v>62</v>
      </c>
      <c r="H103" s="137">
        <v>48</v>
      </c>
      <c r="I103" s="137">
        <v>68</v>
      </c>
      <c r="J103" s="137">
        <v>46</v>
      </c>
      <c r="K103" s="92"/>
      <c r="L103" s="85"/>
      <c r="M103" s="92"/>
    </row>
    <row r="104" spans="1:13" ht="12" customHeight="1">
      <c r="A104" s="154" t="s">
        <v>134</v>
      </c>
      <c r="B104" s="155" t="s">
        <v>89</v>
      </c>
      <c r="C104" s="272">
        <f>C101/(C80+C101)</f>
        <v>0.24927701914995526</v>
      </c>
      <c r="D104" s="272">
        <f>D101/(D80+D101)</f>
        <v>0.3247778699593209</v>
      </c>
      <c r="E104" s="272">
        <f>E101/(E80+E101)</f>
        <v>0.46727940364845871</v>
      </c>
      <c r="F104" s="272">
        <f>F101/(F80+F101)</f>
        <v>0.40455530538760576</v>
      </c>
      <c r="G104" s="164">
        <v>38</v>
      </c>
      <c r="H104" s="137">
        <v>52</v>
      </c>
      <c r="I104" s="137">
        <v>32</v>
      </c>
      <c r="J104" s="137">
        <v>54</v>
      </c>
      <c r="K104" s="92"/>
      <c r="L104" s="92"/>
      <c r="M104" s="92"/>
    </row>
    <row r="105" spans="1:13" ht="12" customHeight="1">
      <c r="A105" s="107"/>
      <c r="B105" s="145"/>
      <c r="C105" s="100"/>
      <c r="D105" s="100"/>
      <c r="E105" s="100"/>
      <c r="F105" s="100"/>
      <c r="G105" s="100"/>
      <c r="H105" s="146"/>
      <c r="I105" s="146"/>
      <c r="J105" s="146"/>
      <c r="K105" s="92"/>
      <c r="L105" s="92"/>
      <c r="M105" s="92"/>
    </row>
    <row r="106" spans="1:13" ht="23.25" customHeight="1">
      <c r="A106" s="186" t="s">
        <v>135</v>
      </c>
      <c r="B106" s="186"/>
      <c r="C106" s="186"/>
      <c r="D106" s="186"/>
      <c r="E106" s="186"/>
      <c r="F106" s="186"/>
      <c r="G106" s="186"/>
      <c r="H106" s="186"/>
      <c r="I106" s="186"/>
      <c r="J106" s="186"/>
      <c r="K106" s="92"/>
      <c r="L106" s="92"/>
      <c r="M106" s="92"/>
    </row>
    <row r="107" spans="1:13" ht="13.5" customHeight="1">
      <c r="A107" s="177" t="s">
        <v>136</v>
      </c>
      <c r="B107" s="203"/>
      <c r="C107" s="203"/>
      <c r="D107" s="203"/>
      <c r="E107" s="203"/>
      <c r="F107" s="203"/>
      <c r="G107" s="204"/>
      <c r="H107" s="203"/>
      <c r="I107" s="203"/>
      <c r="J107" s="203"/>
      <c r="K107" s="92"/>
      <c r="L107" s="92"/>
      <c r="M107" s="92"/>
    </row>
    <row r="108" spans="1:13" ht="12" customHeight="1">
      <c r="A108" s="93" t="s">
        <v>137</v>
      </c>
      <c r="B108" s="54" t="s">
        <v>110</v>
      </c>
      <c r="C108" s="246">
        <v>25354</v>
      </c>
      <c r="D108" s="246">
        <v>15276</v>
      </c>
      <c r="E108" s="246">
        <v>17130</v>
      </c>
      <c r="F108" s="246">
        <v>14600</v>
      </c>
      <c r="G108" s="246">
        <v>15179</v>
      </c>
      <c r="H108" s="247">
        <v>8464</v>
      </c>
      <c r="I108" s="248" t="s">
        <v>33</v>
      </c>
      <c r="J108" s="248" t="s">
        <v>33</v>
      </c>
      <c r="K108" s="92"/>
      <c r="L108" s="92"/>
      <c r="M108" s="92"/>
    </row>
    <row r="109" spans="1:13" ht="12" customHeight="1">
      <c r="A109" s="96" t="s">
        <v>67</v>
      </c>
      <c r="B109" s="55" t="s">
        <v>110</v>
      </c>
      <c r="C109" s="273">
        <v>362</v>
      </c>
      <c r="D109" s="273">
        <v>364</v>
      </c>
      <c r="E109" s="273">
        <v>335.5</v>
      </c>
      <c r="F109" s="273">
        <v>348.65</v>
      </c>
      <c r="G109" s="249">
        <v>334</v>
      </c>
      <c r="H109" s="250">
        <v>194</v>
      </c>
      <c r="I109" s="248" t="s">
        <v>33</v>
      </c>
      <c r="J109" s="248" t="s">
        <v>33</v>
      </c>
      <c r="K109" s="92"/>
      <c r="L109" s="92"/>
      <c r="M109" s="92"/>
    </row>
    <row r="110" spans="1:13" s="166" customFormat="1" ht="12" customHeight="1" thickBot="1">
      <c r="A110" s="205" t="s">
        <v>27</v>
      </c>
      <c r="B110" s="206" t="s">
        <v>110</v>
      </c>
      <c r="C110" s="207">
        <f t="shared" ref="C110:H110" si="13">SUM(C108:C109)</f>
        <v>25716</v>
      </c>
      <c r="D110" s="207">
        <f t="shared" si="13"/>
        <v>15640</v>
      </c>
      <c r="E110" s="207">
        <f t="shared" si="13"/>
        <v>17465.5</v>
      </c>
      <c r="F110" s="207">
        <f t="shared" si="13"/>
        <v>14948.65</v>
      </c>
      <c r="G110" s="207">
        <f t="shared" si="13"/>
        <v>15513</v>
      </c>
      <c r="H110" s="207">
        <f t="shared" si="13"/>
        <v>8658</v>
      </c>
      <c r="I110" s="208" t="s">
        <v>33</v>
      </c>
      <c r="J110" s="208" t="s">
        <v>33</v>
      </c>
      <c r="K110" s="209"/>
      <c r="L110" s="209"/>
      <c r="M110" s="209"/>
    </row>
    <row r="111" spans="1:13" s="166" customFormat="1" ht="12" customHeight="1">
      <c r="A111" s="257"/>
      <c r="B111" s="258"/>
      <c r="C111" s="259"/>
      <c r="D111" s="259"/>
      <c r="E111" s="259"/>
      <c r="F111" s="259"/>
      <c r="G111" s="259"/>
      <c r="H111" s="259"/>
      <c r="I111" s="260"/>
      <c r="J111" s="260"/>
      <c r="K111" s="209"/>
      <c r="L111" s="209"/>
      <c r="M111" s="209"/>
    </row>
    <row r="112" spans="1:13" s="166" customFormat="1" ht="12" customHeight="1">
      <c r="A112" s="186" t="s">
        <v>138</v>
      </c>
      <c r="B112" s="186"/>
      <c r="C112" s="186"/>
      <c r="D112" s="186"/>
      <c r="E112" s="186"/>
      <c r="F112" s="186"/>
      <c r="G112" s="186"/>
      <c r="H112" s="186"/>
      <c r="I112" s="186"/>
      <c r="J112" s="186"/>
      <c r="K112" s="209"/>
      <c r="L112" s="209"/>
      <c r="M112" s="209"/>
    </row>
    <row r="113" spans="1:13" s="166" customFormat="1" ht="12" customHeight="1">
      <c r="A113" s="177" t="s">
        <v>139</v>
      </c>
      <c r="B113" s="277"/>
      <c r="C113" s="192">
        <v>2025</v>
      </c>
      <c r="D113" s="192">
        <v>2024</v>
      </c>
      <c r="E113" s="192">
        <v>2023</v>
      </c>
      <c r="F113" s="192">
        <v>2022</v>
      </c>
      <c r="G113" s="277"/>
      <c r="H113" s="277"/>
      <c r="I113" s="277"/>
      <c r="J113" s="277"/>
      <c r="K113" s="209"/>
      <c r="L113" s="209"/>
      <c r="M113" s="209"/>
    </row>
    <row r="114" spans="1:13" s="166" customFormat="1" ht="12" customHeight="1">
      <c r="A114" s="93" t="s">
        <v>22</v>
      </c>
      <c r="B114" s="284"/>
      <c r="C114" s="246">
        <v>0</v>
      </c>
      <c r="D114" s="246">
        <v>0</v>
      </c>
      <c r="E114" s="246">
        <v>0</v>
      </c>
      <c r="F114" s="246">
        <v>0</v>
      </c>
      <c r="G114" s="285"/>
      <c r="H114" s="285"/>
      <c r="I114" s="286"/>
      <c r="J114" s="286"/>
      <c r="K114" s="209"/>
      <c r="L114" s="209"/>
      <c r="M114" s="209"/>
    </row>
    <row r="115" spans="1:13" s="166" customFormat="1" ht="12" customHeight="1">
      <c r="A115" s="96" t="s">
        <v>67</v>
      </c>
      <c r="B115" s="287"/>
      <c r="C115" s="403">
        <v>0</v>
      </c>
      <c r="D115" s="403">
        <v>0</v>
      </c>
      <c r="E115" s="403">
        <v>0</v>
      </c>
      <c r="F115" s="403">
        <v>0</v>
      </c>
      <c r="G115" s="288"/>
      <c r="H115" s="288"/>
      <c r="I115" s="289"/>
      <c r="J115" s="289"/>
      <c r="K115" s="209"/>
      <c r="L115" s="209"/>
      <c r="M115" s="209"/>
    </row>
    <row r="116" spans="1:13" s="166" customFormat="1" ht="12" customHeight="1">
      <c r="B116" s="258"/>
      <c r="C116" s="259"/>
      <c r="D116" s="259"/>
      <c r="E116" s="259"/>
      <c r="F116" s="259"/>
      <c r="G116" s="259"/>
      <c r="H116" s="259"/>
      <c r="I116" s="260"/>
      <c r="J116" s="260"/>
      <c r="K116" s="209"/>
      <c r="L116" s="209"/>
      <c r="M116" s="209"/>
    </row>
    <row r="117" spans="1:13" s="166" customFormat="1" ht="12" customHeight="1">
      <c r="A117" s="263" t="s">
        <v>140</v>
      </c>
      <c r="B117" s="264"/>
      <c r="C117" s="274">
        <v>2025</v>
      </c>
      <c r="D117" s="274">
        <v>2024</v>
      </c>
      <c r="E117" s="274">
        <v>2023</v>
      </c>
      <c r="F117" s="274">
        <v>2022</v>
      </c>
      <c r="G117" s="261"/>
      <c r="H117" s="261"/>
      <c r="I117" s="262"/>
      <c r="J117" s="262"/>
      <c r="K117" s="209"/>
      <c r="L117" s="209"/>
      <c r="M117" s="209"/>
    </row>
    <row r="118" spans="1:13" s="166" customFormat="1" ht="12" customHeight="1">
      <c r="A118" s="404" t="s">
        <v>141</v>
      </c>
      <c r="B118" s="284"/>
      <c r="C118" s="246">
        <v>0</v>
      </c>
      <c r="D118" s="246">
        <v>0</v>
      </c>
      <c r="E118" s="246">
        <v>0</v>
      </c>
      <c r="F118" s="246">
        <v>0</v>
      </c>
      <c r="G118" s="285"/>
      <c r="H118" s="285"/>
      <c r="I118" s="286"/>
      <c r="J118" s="286"/>
      <c r="K118" s="209"/>
      <c r="L118" s="209"/>
      <c r="M118" s="209"/>
    </row>
    <row r="119" spans="1:13" s="166" customFormat="1" ht="12" customHeight="1">
      <c r="A119" s="96" t="s">
        <v>67</v>
      </c>
      <c r="B119" s="287"/>
      <c r="C119" s="403">
        <v>0</v>
      </c>
      <c r="D119" s="403">
        <v>0</v>
      </c>
      <c r="E119" s="403">
        <v>0</v>
      </c>
      <c r="F119" s="403">
        <v>0</v>
      </c>
      <c r="G119" s="288"/>
      <c r="H119" s="288"/>
      <c r="I119" s="289"/>
      <c r="J119" s="289"/>
      <c r="K119" s="209"/>
      <c r="L119" s="209"/>
      <c r="M119" s="209"/>
    </row>
    <row r="120" spans="1:13" s="166" customFormat="1" ht="12" customHeight="1">
      <c r="A120" s="257"/>
      <c r="B120" s="258"/>
      <c r="C120" s="258"/>
      <c r="D120" s="258"/>
      <c r="E120" s="259"/>
      <c r="F120" s="259"/>
      <c r="G120" s="259"/>
      <c r="H120" s="259"/>
      <c r="I120" s="260"/>
      <c r="J120" s="260"/>
      <c r="K120" s="209"/>
      <c r="L120" s="209"/>
      <c r="M120" s="209"/>
    </row>
    <row r="121" spans="1:13" ht="12" customHeight="1">
      <c r="A121" s="156" t="s">
        <v>37</v>
      </c>
      <c r="B121" s="157"/>
      <c r="C121" s="157"/>
      <c r="D121" s="157"/>
      <c r="E121" s="157"/>
      <c r="F121" s="157"/>
      <c r="G121" s="158"/>
      <c r="H121" s="159"/>
      <c r="I121" s="159"/>
      <c r="J121" s="159"/>
      <c r="K121" s="88"/>
      <c r="L121" s="88"/>
      <c r="M121" s="88"/>
    </row>
    <row r="122" spans="1:13" ht="12" customHeight="1">
      <c r="A122" s="632" t="s">
        <v>142</v>
      </c>
      <c r="B122" s="632"/>
      <c r="C122" s="632"/>
      <c r="D122" s="632"/>
      <c r="E122" s="632"/>
      <c r="F122" s="632"/>
      <c r="G122" s="632"/>
      <c r="H122" s="632"/>
      <c r="I122" s="88"/>
      <c r="J122" s="88"/>
    </row>
    <row r="123" spans="1:13" ht="16.5" customHeight="1">
      <c r="A123" s="632" t="s">
        <v>143</v>
      </c>
      <c r="B123" s="632"/>
      <c r="C123" s="632"/>
      <c r="D123" s="632"/>
      <c r="E123" s="632"/>
      <c r="F123" s="632"/>
      <c r="G123" s="632"/>
      <c r="H123" s="632"/>
      <c r="I123" s="88"/>
      <c r="J123" s="88"/>
    </row>
    <row r="124" spans="1:13" ht="12" customHeight="1">
      <c r="A124" s="632" t="s">
        <v>144</v>
      </c>
      <c r="B124" s="632"/>
      <c r="C124" s="632"/>
      <c r="D124" s="632"/>
      <c r="E124" s="632"/>
      <c r="F124" s="632"/>
      <c r="G124" s="632"/>
      <c r="H124" s="632"/>
      <c r="I124" s="88"/>
      <c r="J124" s="88"/>
    </row>
    <row r="125" spans="1:13" ht="12" customHeight="1">
      <c r="A125" s="632" t="s">
        <v>145</v>
      </c>
      <c r="B125" s="632"/>
      <c r="C125" s="632"/>
      <c r="D125" s="632"/>
      <c r="E125" s="632"/>
      <c r="F125" s="632"/>
      <c r="G125" s="632"/>
      <c r="H125" s="632"/>
      <c r="I125" s="88"/>
      <c r="J125" s="88"/>
    </row>
    <row r="126" spans="1:13" ht="12" customHeight="1">
      <c r="A126" s="632" t="s">
        <v>146</v>
      </c>
      <c r="B126" s="632"/>
      <c r="C126" s="632"/>
      <c r="D126" s="632"/>
      <c r="E126" s="632"/>
      <c r="F126" s="632"/>
      <c r="G126" s="632"/>
      <c r="H126" s="632"/>
      <c r="I126" s="88"/>
      <c r="J126" s="88"/>
    </row>
    <row r="127" spans="1:13" ht="12" customHeight="1">
      <c r="A127" s="632" t="s">
        <v>147</v>
      </c>
      <c r="B127" s="632"/>
      <c r="C127" s="632"/>
      <c r="D127" s="632"/>
      <c r="E127" s="632"/>
      <c r="F127" s="632"/>
      <c r="G127" s="632"/>
      <c r="H127" s="632"/>
      <c r="I127" s="88"/>
      <c r="J127" s="88"/>
    </row>
    <row r="128" spans="1:13" ht="12" customHeight="1">
      <c r="A128" s="632" t="s">
        <v>148</v>
      </c>
      <c r="B128" s="632"/>
      <c r="C128" s="632"/>
      <c r="D128" s="632"/>
      <c r="E128" s="632"/>
      <c r="F128" s="632"/>
      <c r="G128" s="632"/>
      <c r="H128" s="632"/>
      <c r="I128" s="88"/>
      <c r="J128" s="88"/>
    </row>
    <row r="129" spans="1:10" ht="12" customHeight="1">
      <c r="A129" s="632" t="s">
        <v>149</v>
      </c>
      <c r="B129" s="632"/>
      <c r="C129" s="632"/>
      <c r="D129" s="632"/>
      <c r="E129" s="632"/>
      <c r="F129" s="632"/>
      <c r="G129" s="632"/>
      <c r="H129" s="632"/>
      <c r="I129" s="88"/>
      <c r="J129" s="88"/>
    </row>
    <row r="130" spans="1:10" ht="12" customHeight="1">
      <c r="A130" s="632" t="s">
        <v>150</v>
      </c>
      <c r="B130" s="632"/>
      <c r="C130" s="632"/>
      <c r="D130" s="632"/>
      <c r="E130" s="632"/>
      <c r="F130" s="632"/>
      <c r="G130" s="632"/>
      <c r="H130" s="632"/>
      <c r="I130" s="88"/>
      <c r="J130" s="88"/>
    </row>
    <row r="131" spans="1:10" ht="12" customHeight="1">
      <c r="A131" s="632" t="s">
        <v>151</v>
      </c>
      <c r="B131" s="632"/>
      <c r="C131" s="632"/>
      <c r="D131" s="632"/>
      <c r="E131" s="632"/>
      <c r="F131" s="632"/>
      <c r="G131" s="632"/>
      <c r="H131" s="632"/>
      <c r="I131" s="88"/>
      <c r="J131" s="88"/>
    </row>
    <row r="132" spans="1:10" ht="12" customHeight="1">
      <c r="A132" s="632" t="s">
        <v>152</v>
      </c>
      <c r="B132" s="632"/>
      <c r="C132" s="632"/>
      <c r="D132" s="632"/>
      <c r="E132" s="632"/>
      <c r="F132" s="632"/>
      <c r="G132" s="632"/>
      <c r="H132" s="632"/>
      <c r="I132" s="88"/>
      <c r="J132" s="88"/>
    </row>
    <row r="133" spans="1:10" ht="16.5" customHeight="1">
      <c r="A133" s="633" t="s">
        <v>153</v>
      </c>
      <c r="B133" s="633"/>
      <c r="C133" s="633"/>
      <c r="D133" s="633"/>
      <c r="E133" s="633"/>
      <c r="F133" s="633"/>
      <c r="G133" s="633"/>
      <c r="H133" s="633"/>
      <c r="I133" s="88"/>
      <c r="J133" s="88"/>
    </row>
    <row r="134" spans="1:10" ht="12" customHeight="1">
      <c r="A134" s="632" t="s">
        <v>154</v>
      </c>
      <c r="B134" s="632"/>
      <c r="C134" s="632"/>
      <c r="D134" s="632"/>
      <c r="E134" s="632"/>
      <c r="F134" s="632"/>
      <c r="G134" s="632"/>
      <c r="H134" s="632"/>
      <c r="I134" s="88"/>
      <c r="J134" s="88"/>
    </row>
    <row r="135" spans="1:10" ht="16.5" customHeight="1">
      <c r="A135" s="632" t="s">
        <v>155</v>
      </c>
      <c r="B135" s="632"/>
      <c r="C135" s="632"/>
      <c r="D135" s="632"/>
      <c r="E135" s="632"/>
      <c r="F135" s="632"/>
      <c r="G135" s="632"/>
      <c r="H135" s="632"/>
      <c r="I135" s="88"/>
      <c r="J135" s="88"/>
    </row>
    <row r="136" spans="1:10" ht="12" customHeight="1">
      <c r="A136" s="632" t="s">
        <v>156</v>
      </c>
      <c r="B136" s="632"/>
      <c r="C136" s="632"/>
      <c r="D136" s="632"/>
      <c r="E136" s="632"/>
      <c r="F136" s="632"/>
      <c r="G136" s="632"/>
      <c r="H136" s="632"/>
      <c r="I136" s="88"/>
      <c r="J136" s="88"/>
    </row>
    <row r="137" spans="1:10" ht="12" customHeight="1">
      <c r="A137" s="632" t="s">
        <v>157</v>
      </c>
      <c r="B137" s="632"/>
      <c r="C137" s="632"/>
      <c r="D137" s="632"/>
      <c r="E137" s="632"/>
      <c r="F137" s="632"/>
      <c r="G137" s="632"/>
      <c r="H137" s="632"/>
      <c r="I137" s="88"/>
      <c r="J137" s="88"/>
    </row>
    <row r="138" spans="1:10" ht="12" customHeight="1">
      <c r="A138" s="632" t="s">
        <v>158</v>
      </c>
      <c r="B138" s="632"/>
      <c r="C138" s="632"/>
      <c r="D138" s="632"/>
      <c r="E138" s="632"/>
      <c r="F138" s="632"/>
      <c r="G138" s="632"/>
      <c r="H138" s="632"/>
    </row>
    <row r="139" spans="1:10" ht="12" customHeight="1">
      <c r="A139" s="632" t="s">
        <v>159</v>
      </c>
      <c r="B139" s="632"/>
      <c r="C139" s="632"/>
      <c r="D139" s="632"/>
      <c r="E139" s="632"/>
      <c r="F139" s="632"/>
      <c r="G139" s="632"/>
      <c r="H139" s="632"/>
    </row>
    <row r="140" spans="1:10">
      <c r="A140" s="632" t="s">
        <v>160</v>
      </c>
      <c r="B140" s="632"/>
      <c r="C140" s="632"/>
      <c r="D140" s="632"/>
      <c r="E140" s="632"/>
      <c r="F140" s="632"/>
      <c r="G140" s="632"/>
      <c r="H140" s="632"/>
    </row>
  </sheetData>
  <sheetProtection algorithmName="SHA-512" hashValue="hk0dHfOqR/YcpABZSH2p4RzQJzhrEwf2/V9EJ290E+h3muYifkzoMMPlCBgUXpHwIOG1QyRAeFFZfQCpzPgevQ==" saltValue="gHogGFjdP9+sKJ7RFNp7XA==" spinCount="100000" sheet="1" objects="1" scenarios="1" selectLockedCells="1" selectUnlockedCells="1"/>
  <mergeCells count="19">
    <mergeCell ref="A122:H122"/>
    <mergeCell ref="A127:H127"/>
    <mergeCell ref="A128:H128"/>
    <mergeCell ref="A129:H129"/>
    <mergeCell ref="A130:H130"/>
    <mergeCell ref="A140:H140"/>
    <mergeCell ref="A123:H123"/>
    <mergeCell ref="A124:H124"/>
    <mergeCell ref="A125:H125"/>
    <mergeCell ref="A126:H126"/>
    <mergeCell ref="A131:H131"/>
    <mergeCell ref="A137:H137"/>
    <mergeCell ref="A138:H138"/>
    <mergeCell ref="A139:H139"/>
    <mergeCell ref="A132:H132"/>
    <mergeCell ref="A133:H133"/>
    <mergeCell ref="A134:H134"/>
    <mergeCell ref="A135:H135"/>
    <mergeCell ref="A136:H136"/>
  </mergeCells>
  <pageMargins left="0.7" right="0.7" top="0.75" bottom="0.75" header="0.3" footer="0.3"/>
  <pageSetup paperSize="9" scale="61" fitToHeight="0" orientation="portrait" horizontalDpi="1200" verticalDpi="1200" r:id="rId1"/>
  <rowBreaks count="1" manualBreakCount="1">
    <brk id="6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30"/>
  <sheetViews>
    <sheetView zoomScale="160" zoomScaleNormal="160" workbookViewId="0"/>
  </sheetViews>
  <sheetFormatPr defaultRowHeight="12" customHeight="1"/>
  <cols>
    <col min="1" max="1" width="60.7109375" bestFit="1" customWidth="1"/>
    <col min="2" max="7" width="11.7109375" customWidth="1"/>
  </cols>
  <sheetData>
    <row r="1" spans="1:9" ht="12" customHeight="1">
      <c r="A1" s="121"/>
      <c r="B1" s="121"/>
      <c r="C1" s="121"/>
      <c r="D1" s="121"/>
      <c r="E1" s="121"/>
    </row>
    <row r="2" spans="1:9" ht="23.25">
      <c r="A2" s="167" t="s">
        <v>161</v>
      </c>
      <c r="B2" s="167"/>
      <c r="C2" s="168"/>
      <c r="D2" s="178"/>
      <c r="E2" s="178"/>
      <c r="F2" s="179"/>
      <c r="G2" s="179"/>
      <c r="H2" s="179"/>
      <c r="I2" s="179"/>
    </row>
    <row r="3" spans="1:9" ht="12" customHeight="1">
      <c r="A3" s="121"/>
      <c r="B3" s="121"/>
      <c r="C3" s="121"/>
      <c r="D3" s="121"/>
      <c r="E3" s="121"/>
    </row>
    <row r="4" spans="1:9" ht="12" customHeight="1">
      <c r="A4" s="169" t="s">
        <v>19</v>
      </c>
      <c r="B4" s="169">
        <v>2025</v>
      </c>
      <c r="C4" s="169">
        <v>2024</v>
      </c>
      <c r="D4" s="169">
        <v>2023</v>
      </c>
      <c r="E4" s="169">
        <v>2022</v>
      </c>
      <c r="F4" s="169">
        <v>2021</v>
      </c>
      <c r="G4" s="170">
        <v>2020</v>
      </c>
      <c r="H4" s="170">
        <v>2019</v>
      </c>
      <c r="I4" s="170">
        <v>2018</v>
      </c>
    </row>
    <row r="5" spans="1:9" ht="12" customHeight="1">
      <c r="A5" s="171" t="s">
        <v>162</v>
      </c>
      <c r="B5" s="171"/>
      <c r="C5" s="171"/>
      <c r="D5" s="171"/>
      <c r="E5" s="171"/>
      <c r="F5" s="171"/>
      <c r="G5" s="172"/>
      <c r="H5" s="172"/>
      <c r="I5" s="172"/>
    </row>
    <row r="6" spans="1:9" ht="12" customHeight="1">
      <c r="A6" s="9" t="s">
        <v>163</v>
      </c>
      <c r="B6" s="584">
        <v>0</v>
      </c>
      <c r="C6" s="86">
        <v>0</v>
      </c>
      <c r="D6" s="86">
        <v>0</v>
      </c>
      <c r="E6" s="86">
        <v>0</v>
      </c>
      <c r="F6" s="86">
        <v>1</v>
      </c>
      <c r="G6" s="5">
        <v>1</v>
      </c>
      <c r="H6" s="5">
        <v>0</v>
      </c>
      <c r="I6" s="5">
        <v>0</v>
      </c>
    </row>
    <row r="7" spans="1:9" ht="12" customHeight="1">
      <c r="A7" s="69" t="s">
        <v>67</v>
      </c>
      <c r="B7" s="87">
        <v>1</v>
      </c>
      <c r="C7" s="87">
        <v>1</v>
      </c>
      <c r="D7" s="87">
        <v>0</v>
      </c>
      <c r="E7" s="87">
        <v>0</v>
      </c>
      <c r="F7" s="87">
        <v>0</v>
      </c>
      <c r="G7" s="70">
        <v>0</v>
      </c>
      <c r="H7" s="70">
        <v>0</v>
      </c>
      <c r="I7" s="70">
        <v>0</v>
      </c>
    </row>
    <row r="8" spans="1:9" ht="12" customHeight="1">
      <c r="A8" s="27"/>
      <c r="B8" s="86"/>
      <c r="C8" s="86"/>
      <c r="D8" s="86"/>
      <c r="E8" s="86"/>
      <c r="F8" s="86"/>
      <c r="G8" s="5"/>
      <c r="H8" s="5"/>
      <c r="I8" s="5"/>
    </row>
    <row r="9" spans="1:9" ht="12" customHeight="1">
      <c r="A9" s="171" t="s">
        <v>164</v>
      </c>
      <c r="B9" s="172"/>
      <c r="C9" s="172"/>
      <c r="D9" s="172"/>
      <c r="E9" s="172"/>
      <c r="F9" s="172"/>
      <c r="G9" s="172"/>
      <c r="H9" s="172"/>
      <c r="I9" s="172"/>
    </row>
    <row r="10" spans="1:9" ht="12" customHeight="1">
      <c r="A10" s="9" t="s">
        <v>165</v>
      </c>
      <c r="B10" s="584">
        <v>3.62</v>
      </c>
      <c r="C10" s="86">
        <v>2.2200000000000002</v>
      </c>
      <c r="D10" s="86">
        <v>1.83</v>
      </c>
      <c r="E10" s="86">
        <v>3.92</v>
      </c>
      <c r="F10" s="86">
        <v>3.07</v>
      </c>
      <c r="G10" s="18">
        <v>9.4</v>
      </c>
      <c r="H10" s="18">
        <v>6.55</v>
      </c>
      <c r="I10" s="18">
        <v>4.26</v>
      </c>
    </row>
    <row r="11" spans="1:9" ht="12" customHeight="1">
      <c r="A11" s="69" t="s">
        <v>166</v>
      </c>
      <c r="B11" s="87">
        <v>2.2999999999999998</v>
      </c>
      <c r="C11" s="87">
        <v>2.2200000000000002</v>
      </c>
      <c r="D11" s="87">
        <v>1.45</v>
      </c>
      <c r="E11" s="87">
        <v>2.42</v>
      </c>
      <c r="F11" s="87">
        <v>2.5099999999999998</v>
      </c>
      <c r="G11" s="71">
        <v>2.2790185184545968</v>
      </c>
      <c r="H11" s="71">
        <v>2.14</v>
      </c>
      <c r="I11" s="71">
        <v>2.31</v>
      </c>
    </row>
    <row r="12" spans="1:9" ht="12" customHeight="1">
      <c r="A12" s="27"/>
      <c r="B12" s="86"/>
      <c r="C12" s="86"/>
      <c r="D12" s="86"/>
      <c r="E12" s="86"/>
      <c r="F12" s="86"/>
      <c r="G12" s="18"/>
      <c r="H12" s="18"/>
      <c r="I12" s="18"/>
    </row>
    <row r="13" spans="1:9" ht="12" customHeight="1">
      <c r="A13" s="171" t="s">
        <v>167</v>
      </c>
      <c r="B13" s="172"/>
      <c r="C13" s="172"/>
      <c r="D13" s="172"/>
      <c r="E13" s="172"/>
      <c r="F13" s="172"/>
      <c r="G13" s="172"/>
      <c r="H13" s="172"/>
      <c r="I13" s="172"/>
    </row>
    <row r="14" spans="1:9" ht="12" customHeight="1">
      <c r="A14" s="9" t="s">
        <v>168</v>
      </c>
      <c r="B14" s="584">
        <v>4</v>
      </c>
      <c r="C14" s="584">
        <v>4</v>
      </c>
      <c r="D14" s="538">
        <v>3</v>
      </c>
      <c r="E14" s="86">
        <v>7</v>
      </c>
      <c r="F14" s="86">
        <v>5</v>
      </c>
      <c r="G14" s="5">
        <v>9</v>
      </c>
      <c r="H14" s="5">
        <v>10</v>
      </c>
      <c r="I14" s="5">
        <v>9</v>
      </c>
    </row>
    <row r="15" spans="1:9" ht="12" customHeight="1">
      <c r="A15" s="69" t="s">
        <v>169</v>
      </c>
      <c r="B15" s="583">
        <v>15</v>
      </c>
      <c r="C15" s="583">
        <v>20</v>
      </c>
      <c r="D15" s="87">
        <v>8</v>
      </c>
      <c r="E15" s="87">
        <v>16</v>
      </c>
      <c r="F15" s="87">
        <v>19</v>
      </c>
      <c r="G15" s="70">
        <v>15</v>
      </c>
      <c r="H15" s="70">
        <v>18</v>
      </c>
      <c r="I15" s="70">
        <v>7</v>
      </c>
    </row>
    <row r="16" spans="1:9" ht="12" customHeight="1">
      <c r="A16" s="27"/>
      <c r="B16" s="86"/>
      <c r="C16" s="86"/>
      <c r="D16" s="86"/>
      <c r="E16" s="86"/>
      <c r="F16" s="86"/>
      <c r="G16" s="5"/>
      <c r="H16" s="18"/>
      <c r="I16" s="18"/>
    </row>
    <row r="17" spans="1:9" ht="12" customHeight="1">
      <c r="A17" s="171" t="s">
        <v>170</v>
      </c>
      <c r="B17" s="172"/>
      <c r="C17" s="172"/>
      <c r="D17" s="172"/>
      <c r="E17" s="172"/>
      <c r="F17" s="172"/>
      <c r="G17" s="172"/>
      <c r="H17" s="172"/>
      <c r="I17" s="172"/>
    </row>
    <row r="18" spans="1:9" ht="12" customHeight="1">
      <c r="A18" s="9" t="s">
        <v>163</v>
      </c>
      <c r="B18" s="584">
        <v>16</v>
      </c>
      <c r="C18" s="86">
        <v>11</v>
      </c>
      <c r="D18" s="86">
        <v>10</v>
      </c>
      <c r="E18" s="86">
        <v>19</v>
      </c>
      <c r="F18" s="86">
        <v>13</v>
      </c>
      <c r="G18" s="5">
        <v>39</v>
      </c>
      <c r="H18" s="5">
        <v>24</v>
      </c>
      <c r="I18" s="5">
        <v>15</v>
      </c>
    </row>
    <row r="19" spans="1:9" ht="12" customHeight="1">
      <c r="A19" s="69" t="s">
        <v>67</v>
      </c>
      <c r="B19" s="87">
        <v>37</v>
      </c>
      <c r="C19" s="87">
        <v>39</v>
      </c>
      <c r="D19" s="87">
        <v>24</v>
      </c>
      <c r="E19" s="87">
        <v>36</v>
      </c>
      <c r="F19" s="87">
        <v>35</v>
      </c>
      <c r="G19" s="70">
        <v>24</v>
      </c>
      <c r="H19" s="70">
        <v>38</v>
      </c>
      <c r="I19" s="70">
        <v>40</v>
      </c>
    </row>
    <row r="20" spans="1:9" ht="12" customHeight="1">
      <c r="A20" s="27"/>
      <c r="B20" s="27"/>
      <c r="C20" s="27"/>
      <c r="D20" s="27"/>
      <c r="E20" s="27"/>
      <c r="F20" s="27"/>
      <c r="G20" s="5"/>
      <c r="H20" s="5"/>
      <c r="I20" s="5"/>
    </row>
    <row r="21" spans="1:9" ht="12" customHeight="1">
      <c r="A21" s="171" t="s">
        <v>171</v>
      </c>
      <c r="B21" s="171"/>
      <c r="C21" s="171"/>
      <c r="D21" s="171"/>
      <c r="E21" s="171"/>
      <c r="F21" s="171"/>
      <c r="G21" s="172"/>
      <c r="H21" s="172"/>
      <c r="I21" s="172"/>
    </row>
    <row r="22" spans="1:9" ht="12" customHeight="1">
      <c r="A22" s="9" t="s">
        <v>163</v>
      </c>
      <c r="B22" s="582">
        <v>4425937</v>
      </c>
      <c r="C22" s="582">
        <v>4945145</v>
      </c>
      <c r="D22" s="375">
        <v>5454284.0700000003</v>
      </c>
      <c r="E22" s="375">
        <v>4845549</v>
      </c>
      <c r="F22" s="82">
        <v>4240109</v>
      </c>
      <c r="G22" s="5">
        <v>4149161.1</v>
      </c>
      <c r="H22" s="5">
        <v>3665254</v>
      </c>
      <c r="I22" s="5">
        <v>3517974</v>
      </c>
    </row>
    <row r="23" spans="1:9" ht="12" customHeight="1">
      <c r="A23" s="69" t="s">
        <v>67</v>
      </c>
      <c r="B23" s="543">
        <v>3218446</v>
      </c>
      <c r="C23" s="543">
        <v>3511955</v>
      </c>
      <c r="D23" s="376">
        <v>3327802.93</v>
      </c>
      <c r="E23" s="376">
        <v>2972517</v>
      </c>
      <c r="F23" s="83">
        <v>2788408.58</v>
      </c>
      <c r="G23" s="72">
        <v>2106169.81</v>
      </c>
      <c r="H23" s="70">
        <v>3546405.54</v>
      </c>
      <c r="I23" s="70">
        <v>3470167.73</v>
      </c>
    </row>
    <row r="24" spans="1:9" ht="12" customHeight="1">
      <c r="A24" s="1"/>
      <c r="B24" s="1"/>
      <c r="C24" s="1"/>
      <c r="D24" s="3"/>
      <c r="E24" s="3"/>
      <c r="F24" s="3"/>
      <c r="G24" s="3"/>
      <c r="H24" s="3"/>
    </row>
    <row r="25" spans="1:9" ht="12" customHeight="1">
      <c r="A25" s="251" t="s">
        <v>37</v>
      </c>
      <c r="B25" s="251"/>
      <c r="C25" s="251"/>
      <c r="D25" s="252"/>
      <c r="E25" s="252"/>
      <c r="F25" s="252"/>
      <c r="G25" s="253"/>
      <c r="H25" s="253"/>
      <c r="I25" s="253"/>
    </row>
    <row r="26" spans="1:9" ht="12" customHeight="1">
      <c r="A26" s="634" t="s">
        <v>172</v>
      </c>
      <c r="B26" s="634"/>
      <c r="C26" s="634"/>
      <c r="D26" s="634"/>
      <c r="E26" s="634"/>
      <c r="F26" s="634"/>
      <c r="G26" s="634"/>
    </row>
    <row r="27" spans="1:9" ht="16.5" customHeight="1">
      <c r="A27" s="634" t="s">
        <v>173</v>
      </c>
      <c r="B27" s="634"/>
      <c r="C27" s="634"/>
      <c r="D27" s="634"/>
      <c r="E27" s="634"/>
      <c r="F27" s="634"/>
      <c r="G27" s="634"/>
    </row>
    <row r="28" spans="1:9" ht="12" customHeight="1">
      <c r="A28" s="634" t="s">
        <v>174</v>
      </c>
      <c r="B28" s="634"/>
      <c r="C28" s="634"/>
      <c r="D28" s="634"/>
      <c r="E28" s="634"/>
      <c r="F28" s="634"/>
      <c r="G28" s="634"/>
    </row>
    <row r="29" spans="1:9" ht="11.25" customHeight="1">
      <c r="A29" s="634" t="s">
        <v>175</v>
      </c>
      <c r="B29" s="634"/>
      <c r="C29" s="634"/>
      <c r="D29" s="634"/>
      <c r="E29" s="634"/>
      <c r="F29" s="634"/>
      <c r="G29" s="634"/>
    </row>
    <row r="30" spans="1:9" ht="15">
      <c r="A30" s="635"/>
      <c r="B30" s="635"/>
      <c r="C30" s="635"/>
      <c r="D30" s="635"/>
      <c r="E30" s="635"/>
      <c r="F30" s="635"/>
      <c r="G30" s="635"/>
    </row>
  </sheetData>
  <sheetProtection algorithmName="SHA-512" hashValue="ZazjiaPnAQ0ffdXOlAI5C0vktHj0dNiYLKe9PFKYDY3dh0AYtqDXAX8l8klewmGVd9Iz/n6Nmn7r4FJS9cUafQ==" saltValue="Z/z8yOxWpIJGBrJBw2AFQQ==" spinCount="100000" sheet="1" objects="1" scenarios="1" selectLockedCells="1" selectUnlockedCells="1"/>
  <mergeCells count="5">
    <mergeCell ref="A26:G26"/>
    <mergeCell ref="A27:G27"/>
    <mergeCell ref="A28:G28"/>
    <mergeCell ref="A29:G29"/>
    <mergeCell ref="A30:G30"/>
  </mergeCells>
  <pageMargins left="0.7" right="0.7" top="0.75" bottom="0.75" header="0.3" footer="0.3"/>
  <pageSetup paperSize="9" scale="87" fitToHeight="0"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X100"/>
  <sheetViews>
    <sheetView zoomScale="115" zoomScaleNormal="115" workbookViewId="0"/>
  </sheetViews>
  <sheetFormatPr defaultRowHeight="12" customHeight="1"/>
  <cols>
    <col min="1" max="1" width="58.7109375" customWidth="1"/>
    <col min="2" max="2" width="12.7109375" style="618" bestFit="1" customWidth="1"/>
    <col min="3" max="3" width="9.5703125" customWidth="1"/>
    <col min="4" max="4" width="7.5703125" bestFit="1" customWidth="1"/>
    <col min="5" max="5" width="9" bestFit="1" customWidth="1"/>
    <col min="6" max="6" width="10.140625" customWidth="1"/>
    <col min="7" max="7" width="10.42578125" customWidth="1"/>
    <col min="8" max="9" width="10.140625" customWidth="1"/>
    <col min="10" max="10" width="10.85546875" customWidth="1"/>
    <col min="11" max="11" width="10.5703125" bestFit="1" customWidth="1"/>
    <col min="12" max="12" width="9.140625" customWidth="1"/>
    <col min="13" max="13" width="9.42578125" customWidth="1"/>
    <col min="14" max="14" width="8.85546875" bestFit="1" customWidth="1"/>
    <col min="15" max="15" width="9.5703125" customWidth="1"/>
    <col min="16" max="17" width="9.7109375" customWidth="1"/>
    <col min="18" max="18" width="10.5703125" customWidth="1"/>
    <col min="19" max="19" width="10.85546875" customWidth="1"/>
    <col min="20" max="20" width="6" bestFit="1" customWidth="1"/>
    <col min="21" max="21" width="8.5703125" bestFit="1" customWidth="1"/>
    <col min="22" max="47" width="9.28515625" bestFit="1" customWidth="1"/>
  </cols>
  <sheetData>
    <row r="1" spans="1:42" ht="12" customHeight="1">
      <c r="A1" s="124"/>
      <c r="B1" s="89"/>
      <c r="C1" s="124"/>
      <c r="D1" s="124"/>
      <c r="E1" s="124"/>
      <c r="F1" s="124"/>
      <c r="G1" s="124"/>
      <c r="H1" s="124"/>
      <c r="I1" s="124"/>
      <c r="J1" s="89"/>
      <c r="K1" s="89"/>
      <c r="L1" s="89"/>
      <c r="M1" s="89"/>
      <c r="N1" s="89"/>
      <c r="O1" s="88"/>
      <c r="P1" s="88"/>
      <c r="Q1" s="88"/>
      <c r="R1" s="88"/>
      <c r="S1" s="88"/>
      <c r="T1" s="88"/>
      <c r="U1" s="88"/>
      <c r="V1" s="88"/>
    </row>
    <row r="2" spans="1:42" ht="23.25">
      <c r="A2" s="90" t="s">
        <v>176</v>
      </c>
      <c r="B2" s="606"/>
      <c r="C2" s="90"/>
      <c r="D2" s="90"/>
      <c r="E2" s="90"/>
      <c r="F2" s="90"/>
      <c r="G2" s="90"/>
      <c r="H2" s="90"/>
      <c r="I2" s="90"/>
      <c r="J2" s="91"/>
      <c r="K2" s="91"/>
      <c r="L2" s="91"/>
      <c r="M2" s="91"/>
      <c r="N2" s="91"/>
      <c r="O2" s="91"/>
      <c r="P2" s="91"/>
      <c r="Q2" s="91"/>
      <c r="R2" s="91"/>
      <c r="S2" s="237"/>
      <c r="T2" s="237"/>
      <c r="U2" s="237"/>
      <c r="V2" s="88"/>
    </row>
    <row r="3" spans="1:42" ht="12" customHeight="1">
      <c r="A3" s="124"/>
      <c r="B3" s="89"/>
      <c r="C3" s="124"/>
      <c r="D3" s="124"/>
      <c r="E3" s="124"/>
      <c r="F3" s="124"/>
      <c r="G3" s="124"/>
      <c r="H3" s="124"/>
      <c r="I3" s="124"/>
      <c r="J3" s="89"/>
      <c r="K3" s="89"/>
      <c r="L3" s="89"/>
      <c r="M3" s="89"/>
      <c r="N3" s="89"/>
      <c r="O3" s="88"/>
      <c r="P3" s="88"/>
      <c r="Q3" s="88"/>
      <c r="R3" s="88"/>
      <c r="S3" s="88"/>
      <c r="T3" s="88"/>
      <c r="U3" s="88"/>
      <c r="V3" s="88"/>
    </row>
    <row r="4" spans="1:42" ht="12" customHeight="1">
      <c r="A4" s="180" t="s">
        <v>19</v>
      </c>
      <c r="B4" s="636" t="s">
        <v>177</v>
      </c>
      <c r="C4" s="636"/>
      <c r="D4" s="636"/>
      <c r="E4" s="636"/>
      <c r="F4" s="636" t="s">
        <v>178</v>
      </c>
      <c r="G4" s="636"/>
      <c r="H4" s="636"/>
      <c r="I4" s="636"/>
      <c r="J4" s="636" t="s">
        <v>179</v>
      </c>
      <c r="K4" s="636"/>
      <c r="L4" s="636"/>
      <c r="M4" s="636"/>
      <c r="N4" s="636" t="s">
        <v>180</v>
      </c>
      <c r="O4" s="636"/>
      <c r="P4" s="636" t="s">
        <v>181</v>
      </c>
      <c r="Q4" s="636"/>
      <c r="R4" s="636" t="s">
        <v>182</v>
      </c>
      <c r="S4" s="636"/>
      <c r="T4" s="636">
        <v>2019</v>
      </c>
      <c r="U4" s="636"/>
      <c r="V4" s="636">
        <v>2018</v>
      </c>
      <c r="W4" s="636"/>
      <c r="X4" s="68"/>
      <c r="Y4" s="68"/>
      <c r="Z4" s="68"/>
      <c r="AA4" s="92"/>
      <c r="AB4" s="92"/>
      <c r="AC4" s="92"/>
      <c r="AD4" s="92"/>
      <c r="AE4" s="92"/>
      <c r="AF4" s="92"/>
      <c r="AG4" s="92"/>
      <c r="AH4" s="92"/>
    </row>
    <row r="5" spans="1:42" ht="12" customHeight="1">
      <c r="A5" s="181" t="s">
        <v>183</v>
      </c>
      <c r="B5" s="182" t="s">
        <v>184</v>
      </c>
      <c r="C5" s="187" t="s">
        <v>185</v>
      </c>
      <c r="D5" s="182" t="s">
        <v>186</v>
      </c>
      <c r="E5" s="182" t="s">
        <v>187</v>
      </c>
      <c r="F5" s="182" t="s">
        <v>184</v>
      </c>
      <c r="G5" s="182" t="s">
        <v>185</v>
      </c>
      <c r="H5" s="182" t="s">
        <v>186</v>
      </c>
      <c r="I5" s="182" t="s">
        <v>187</v>
      </c>
      <c r="J5" s="182" t="s">
        <v>184</v>
      </c>
      <c r="K5" s="182" t="s">
        <v>185</v>
      </c>
      <c r="L5" s="182" t="s">
        <v>186</v>
      </c>
      <c r="M5" s="182" t="s">
        <v>187</v>
      </c>
      <c r="N5" s="182" t="s">
        <v>184</v>
      </c>
      <c r="O5" s="182" t="s">
        <v>185</v>
      </c>
      <c r="P5" s="182" t="s">
        <v>184</v>
      </c>
      <c r="Q5" s="182" t="s">
        <v>185</v>
      </c>
      <c r="R5" s="182" t="s">
        <v>184</v>
      </c>
      <c r="S5" s="182" t="s">
        <v>185</v>
      </c>
      <c r="T5" s="182" t="s">
        <v>184</v>
      </c>
      <c r="U5" s="182" t="s">
        <v>185</v>
      </c>
      <c r="V5" s="182" t="s">
        <v>184</v>
      </c>
      <c r="W5" s="182" t="s">
        <v>185</v>
      </c>
      <c r="X5" s="68"/>
      <c r="Y5" s="68"/>
      <c r="Z5" s="68"/>
      <c r="AA5" s="92"/>
      <c r="AB5" s="92"/>
      <c r="AC5" s="92"/>
      <c r="AD5" s="92"/>
      <c r="AE5" s="92"/>
      <c r="AF5" s="92"/>
      <c r="AG5" s="92"/>
      <c r="AH5" s="92"/>
    </row>
    <row r="6" spans="1:42" ht="12" customHeight="1">
      <c r="A6" s="93" t="s">
        <v>188</v>
      </c>
      <c r="B6" s="586">
        <v>480</v>
      </c>
      <c r="C6" s="586">
        <v>1836</v>
      </c>
      <c r="D6" s="586">
        <v>468</v>
      </c>
      <c r="E6" s="586">
        <v>12</v>
      </c>
      <c r="F6" s="94">
        <v>487</v>
      </c>
      <c r="G6" s="94">
        <v>1764</v>
      </c>
      <c r="H6" s="108">
        <v>478</v>
      </c>
      <c r="I6" s="94">
        <v>9</v>
      </c>
      <c r="J6" s="108">
        <v>485</v>
      </c>
      <c r="K6" s="94">
        <v>2279</v>
      </c>
      <c r="L6" s="108">
        <v>478</v>
      </c>
      <c r="M6" s="94">
        <v>7</v>
      </c>
      <c r="N6" s="108">
        <v>449</v>
      </c>
      <c r="O6" s="94">
        <v>2316</v>
      </c>
      <c r="P6" s="108">
        <v>390</v>
      </c>
      <c r="Q6" s="94">
        <v>1830</v>
      </c>
      <c r="R6" s="94">
        <v>443</v>
      </c>
      <c r="S6" s="95">
        <v>1582</v>
      </c>
      <c r="T6" s="94">
        <v>449</v>
      </c>
      <c r="U6" s="95">
        <v>1444</v>
      </c>
      <c r="V6" s="94" t="s">
        <v>33</v>
      </c>
      <c r="W6" s="94" t="s">
        <v>33</v>
      </c>
      <c r="X6" s="68"/>
      <c r="Y6" s="68"/>
      <c r="Z6" s="68"/>
      <c r="AA6" s="92"/>
      <c r="AB6" s="92"/>
      <c r="AC6" s="92"/>
      <c r="AD6" s="92"/>
      <c r="AE6" s="92"/>
      <c r="AF6" s="92"/>
      <c r="AG6" s="92"/>
      <c r="AH6" s="92"/>
    </row>
    <row r="7" spans="1:42" ht="12" customHeight="1">
      <c r="A7" s="96" t="s">
        <v>25</v>
      </c>
      <c r="B7" s="587">
        <v>602</v>
      </c>
      <c r="C7" s="587">
        <v>20</v>
      </c>
      <c r="D7" s="587">
        <v>600</v>
      </c>
      <c r="E7" s="587">
        <v>2</v>
      </c>
      <c r="F7" s="97">
        <v>706</v>
      </c>
      <c r="G7" s="97">
        <v>15</v>
      </c>
      <c r="H7" s="110">
        <v>705</v>
      </c>
      <c r="I7" s="97">
        <v>1</v>
      </c>
      <c r="J7" s="110">
        <v>646</v>
      </c>
      <c r="K7" s="97">
        <v>22</v>
      </c>
      <c r="L7" s="110">
        <v>646</v>
      </c>
      <c r="M7" s="97">
        <v>0</v>
      </c>
      <c r="N7" s="110">
        <v>598</v>
      </c>
      <c r="O7" s="97">
        <v>10</v>
      </c>
      <c r="P7" s="110">
        <v>568</v>
      </c>
      <c r="Q7" s="97">
        <v>18</v>
      </c>
      <c r="R7" s="97">
        <v>457</v>
      </c>
      <c r="S7" s="97">
        <v>22</v>
      </c>
      <c r="T7" s="97">
        <v>583</v>
      </c>
      <c r="U7" s="97">
        <v>7</v>
      </c>
      <c r="V7" s="97" t="s">
        <v>33</v>
      </c>
      <c r="W7" s="97" t="s">
        <v>33</v>
      </c>
      <c r="X7" s="68"/>
      <c r="Y7" s="68"/>
      <c r="Z7" s="68"/>
      <c r="AA7" s="92"/>
      <c r="AB7" s="92"/>
      <c r="AC7" s="92"/>
      <c r="AD7" s="92"/>
      <c r="AE7" s="92"/>
      <c r="AF7" s="92"/>
      <c r="AG7" s="92"/>
      <c r="AH7" s="92"/>
    </row>
    <row r="8" spans="1:42" ht="12" customHeight="1">
      <c r="A8" s="93" t="s">
        <v>24</v>
      </c>
      <c r="B8" s="586">
        <v>0</v>
      </c>
      <c r="C8" s="586">
        <v>0</v>
      </c>
      <c r="D8" s="586">
        <v>0</v>
      </c>
      <c r="E8" s="586">
        <v>0</v>
      </c>
      <c r="F8" s="94">
        <v>13</v>
      </c>
      <c r="G8" s="94">
        <v>0</v>
      </c>
      <c r="H8" s="108">
        <v>13</v>
      </c>
      <c r="I8" s="94">
        <v>0</v>
      </c>
      <c r="J8" s="108">
        <v>13</v>
      </c>
      <c r="K8" s="94">
        <v>0</v>
      </c>
      <c r="L8" s="108">
        <v>13</v>
      </c>
      <c r="M8" s="94">
        <v>0</v>
      </c>
      <c r="N8" s="108">
        <v>13</v>
      </c>
      <c r="O8" s="94">
        <v>0</v>
      </c>
      <c r="P8" s="108">
        <v>11</v>
      </c>
      <c r="Q8" s="94">
        <v>0</v>
      </c>
      <c r="R8" s="94">
        <v>11</v>
      </c>
      <c r="S8" s="94">
        <v>4</v>
      </c>
      <c r="T8" s="94">
        <v>134</v>
      </c>
      <c r="U8" s="94">
        <v>20</v>
      </c>
      <c r="V8" s="94" t="s">
        <v>33</v>
      </c>
      <c r="W8" s="94" t="s">
        <v>33</v>
      </c>
      <c r="X8" s="68"/>
      <c r="Y8" s="68"/>
      <c r="Z8" s="68"/>
      <c r="AA8" s="92"/>
      <c r="AB8" s="92"/>
      <c r="AC8" s="92"/>
      <c r="AD8" s="92"/>
      <c r="AE8" s="92"/>
      <c r="AF8" s="92"/>
      <c r="AG8" s="92"/>
      <c r="AH8" s="92"/>
    </row>
    <row r="9" spans="1:42" ht="12" customHeight="1">
      <c r="A9" s="96" t="s">
        <v>26</v>
      </c>
      <c r="B9" s="587">
        <v>683</v>
      </c>
      <c r="C9" s="587">
        <v>0</v>
      </c>
      <c r="D9" s="587">
        <v>683</v>
      </c>
      <c r="E9" s="587">
        <v>0</v>
      </c>
      <c r="F9" s="97">
        <v>710</v>
      </c>
      <c r="G9" s="97">
        <v>11</v>
      </c>
      <c r="H9" s="110">
        <v>710</v>
      </c>
      <c r="I9" s="97">
        <v>0</v>
      </c>
      <c r="J9" s="110">
        <v>695</v>
      </c>
      <c r="K9" s="97">
        <v>34</v>
      </c>
      <c r="L9" s="110">
        <v>695</v>
      </c>
      <c r="M9" s="97">
        <v>0</v>
      </c>
      <c r="N9" s="110">
        <v>639</v>
      </c>
      <c r="O9" s="97">
        <v>0</v>
      </c>
      <c r="P9" s="110">
        <v>573</v>
      </c>
      <c r="Q9" s="97">
        <v>0</v>
      </c>
      <c r="R9" s="97">
        <v>544</v>
      </c>
      <c r="S9" s="97">
        <v>0</v>
      </c>
      <c r="T9" s="97">
        <v>591</v>
      </c>
      <c r="U9" s="97">
        <v>0</v>
      </c>
      <c r="V9" s="97" t="s">
        <v>33</v>
      </c>
      <c r="W9" s="97" t="s">
        <v>33</v>
      </c>
      <c r="X9" s="68"/>
      <c r="Y9" s="68"/>
      <c r="Z9" s="68"/>
      <c r="AA9" s="92"/>
      <c r="AB9" s="92"/>
      <c r="AC9" s="92"/>
      <c r="AD9" s="92"/>
      <c r="AE9" s="92"/>
      <c r="AF9" s="92"/>
      <c r="AG9" s="92"/>
      <c r="AH9" s="92"/>
    </row>
    <row r="10" spans="1:42" ht="12" customHeight="1">
      <c r="A10" s="93" t="s">
        <v>189</v>
      </c>
      <c r="B10" s="586">
        <v>34</v>
      </c>
      <c r="C10" s="586">
        <v>3</v>
      </c>
      <c r="D10" s="586">
        <v>34</v>
      </c>
      <c r="E10" s="586">
        <v>0</v>
      </c>
      <c r="F10" s="94">
        <v>35</v>
      </c>
      <c r="G10" s="94">
        <v>0</v>
      </c>
      <c r="H10" s="108">
        <v>35</v>
      </c>
      <c r="I10" s="94">
        <v>0</v>
      </c>
      <c r="J10" s="108">
        <v>39</v>
      </c>
      <c r="K10" s="94">
        <v>0</v>
      </c>
      <c r="L10" s="108">
        <v>39</v>
      </c>
      <c r="M10" s="94">
        <v>0</v>
      </c>
      <c r="N10" s="108">
        <v>36</v>
      </c>
      <c r="O10" s="94">
        <v>0</v>
      </c>
      <c r="P10" s="108">
        <v>35</v>
      </c>
      <c r="Q10" s="94">
        <v>0</v>
      </c>
      <c r="R10" s="94">
        <v>37</v>
      </c>
      <c r="S10" s="94">
        <v>0</v>
      </c>
      <c r="T10" s="94">
        <v>36</v>
      </c>
      <c r="U10" s="94">
        <v>0</v>
      </c>
      <c r="V10" s="94" t="s">
        <v>33</v>
      </c>
      <c r="W10" s="94" t="s">
        <v>33</v>
      </c>
      <c r="X10" s="68"/>
      <c r="Y10" s="68"/>
      <c r="Z10" s="68"/>
      <c r="AA10" s="92"/>
      <c r="AB10" s="92"/>
      <c r="AC10" s="92"/>
      <c r="AD10" s="92"/>
      <c r="AE10" s="92"/>
      <c r="AF10" s="92"/>
      <c r="AG10" s="92"/>
      <c r="AH10" s="92"/>
    </row>
    <row r="11" spans="1:42" ht="12" customHeight="1" thickBot="1">
      <c r="A11" s="98" t="s">
        <v>190</v>
      </c>
      <c r="B11" s="588">
        <f>SUM(B6:B10)</f>
        <v>1799</v>
      </c>
      <c r="C11" s="588">
        <f t="shared" ref="C11:E11" si="0">SUM(C6:C10)</f>
        <v>1859</v>
      </c>
      <c r="D11" s="588">
        <f t="shared" si="0"/>
        <v>1785</v>
      </c>
      <c r="E11" s="588">
        <f t="shared" si="0"/>
        <v>14</v>
      </c>
      <c r="F11" s="120">
        <f t="shared" ref="F11:I11" si="1">SUM(F6:F10)</f>
        <v>1951</v>
      </c>
      <c r="G11" s="120">
        <f t="shared" si="1"/>
        <v>1790</v>
      </c>
      <c r="H11" s="120">
        <f t="shared" si="1"/>
        <v>1941</v>
      </c>
      <c r="I11" s="120">
        <f t="shared" si="1"/>
        <v>10</v>
      </c>
      <c r="J11" s="120">
        <f t="shared" ref="J11:M11" si="2">SUM(J6:J10)</f>
        <v>1878</v>
      </c>
      <c r="K11" s="120">
        <f t="shared" si="2"/>
        <v>2335</v>
      </c>
      <c r="L11" s="120">
        <f t="shared" si="2"/>
        <v>1871</v>
      </c>
      <c r="M11" s="120">
        <f t="shared" si="2"/>
        <v>7</v>
      </c>
      <c r="N11" s="120">
        <f t="shared" ref="N11:U11" si="3">SUM(N6:N10)</f>
        <v>1735</v>
      </c>
      <c r="O11" s="120">
        <f t="shared" si="3"/>
        <v>2326</v>
      </c>
      <c r="P11" s="120">
        <f t="shared" si="3"/>
        <v>1577</v>
      </c>
      <c r="Q11" s="120">
        <f t="shared" si="3"/>
        <v>1848</v>
      </c>
      <c r="R11" s="120">
        <f t="shared" si="3"/>
        <v>1492</v>
      </c>
      <c r="S11" s="120">
        <f t="shared" si="3"/>
        <v>1608</v>
      </c>
      <c r="T11" s="120">
        <f t="shared" si="3"/>
        <v>1793</v>
      </c>
      <c r="U11" s="120">
        <f t="shared" si="3"/>
        <v>1471</v>
      </c>
      <c r="V11" s="99">
        <v>1732</v>
      </c>
      <c r="W11" s="99">
        <v>1293</v>
      </c>
      <c r="X11" s="68"/>
      <c r="Y11" s="68"/>
      <c r="Z11" s="68"/>
      <c r="AA11" s="92"/>
      <c r="AB11" s="92"/>
      <c r="AC11" s="92"/>
      <c r="AD11" s="92"/>
      <c r="AE11" s="92"/>
      <c r="AF11" s="92"/>
      <c r="AG11" s="92"/>
      <c r="AH11" s="92"/>
    </row>
    <row r="12" spans="1:42" ht="12" customHeight="1">
      <c r="A12" s="118"/>
      <c r="B12" s="607"/>
      <c r="C12" s="377"/>
      <c r="D12" s="94"/>
      <c r="E12" s="94"/>
      <c r="F12" s="119"/>
      <c r="G12" s="100"/>
      <c r="H12" s="100"/>
      <c r="I12" s="100"/>
      <c r="J12" s="73"/>
      <c r="K12" s="68"/>
      <c r="L12" s="68"/>
      <c r="M12" s="68"/>
      <c r="N12" s="68"/>
      <c r="O12" s="92"/>
      <c r="P12" s="92"/>
      <c r="Q12" s="92"/>
      <c r="R12" s="92"/>
      <c r="S12" s="92"/>
      <c r="T12" s="92"/>
      <c r="U12" s="92"/>
      <c r="V12" s="92"/>
    </row>
    <row r="13" spans="1:42" ht="12" customHeight="1">
      <c r="A13" s="180"/>
      <c r="B13" s="636">
        <v>2025</v>
      </c>
      <c r="C13" s="636"/>
      <c r="D13" s="636"/>
      <c r="E13" s="636"/>
      <c r="F13" s="636"/>
      <c r="G13" s="636">
        <v>2024</v>
      </c>
      <c r="H13" s="636"/>
      <c r="I13" s="636"/>
      <c r="J13" s="636"/>
      <c r="K13" s="636"/>
      <c r="L13" s="636">
        <v>2023</v>
      </c>
      <c r="M13" s="636"/>
      <c r="N13" s="636"/>
      <c r="O13" s="636"/>
      <c r="P13" s="636"/>
      <c r="Q13" s="636">
        <v>2022</v>
      </c>
      <c r="R13" s="636"/>
      <c r="S13" s="636"/>
      <c r="T13" s="636"/>
      <c r="U13" s="636"/>
      <c r="V13" s="636">
        <v>2021</v>
      </c>
      <c r="W13" s="636"/>
      <c r="X13" s="636"/>
      <c r="Y13" s="636"/>
      <c r="Z13" s="636"/>
      <c r="AA13" s="636">
        <v>2020</v>
      </c>
      <c r="AB13" s="636"/>
      <c r="AC13" s="636"/>
      <c r="AD13" s="636"/>
      <c r="AE13" s="636"/>
      <c r="AF13" s="92"/>
      <c r="AG13" s="92"/>
      <c r="AH13" s="68"/>
      <c r="AI13" s="92"/>
      <c r="AJ13" s="92"/>
      <c r="AK13" s="92"/>
      <c r="AL13" s="92"/>
      <c r="AM13" s="92"/>
      <c r="AN13" s="92"/>
      <c r="AO13" s="92"/>
      <c r="AP13" s="92"/>
    </row>
    <row r="14" spans="1:42" ht="12" customHeight="1">
      <c r="A14" s="181" t="s">
        <v>191</v>
      </c>
      <c r="B14" s="637" t="s">
        <v>192</v>
      </c>
      <c r="C14" s="637"/>
      <c r="D14" s="637" t="s">
        <v>193</v>
      </c>
      <c r="E14" s="637"/>
      <c r="F14" s="637"/>
      <c r="G14" s="637" t="s">
        <v>192</v>
      </c>
      <c r="H14" s="637"/>
      <c r="I14" s="637" t="s">
        <v>193</v>
      </c>
      <c r="J14" s="637"/>
      <c r="K14" s="637"/>
      <c r="L14" s="637" t="s">
        <v>192</v>
      </c>
      <c r="M14" s="637"/>
      <c r="N14" s="637" t="s">
        <v>193</v>
      </c>
      <c r="O14" s="637"/>
      <c r="P14" s="637"/>
      <c r="Q14" s="637" t="s">
        <v>192</v>
      </c>
      <c r="R14" s="637"/>
      <c r="S14" s="637" t="s">
        <v>193</v>
      </c>
      <c r="T14" s="637"/>
      <c r="U14" s="637"/>
      <c r="V14" s="637" t="s">
        <v>192</v>
      </c>
      <c r="W14" s="637"/>
      <c r="X14" s="637" t="s">
        <v>193</v>
      </c>
      <c r="Y14" s="637"/>
      <c r="Z14" s="637"/>
      <c r="AA14" s="636" t="s">
        <v>192</v>
      </c>
      <c r="AB14" s="636"/>
      <c r="AC14" s="636" t="s">
        <v>193</v>
      </c>
      <c r="AD14" s="636"/>
      <c r="AE14" s="636"/>
      <c r="AF14" s="92"/>
      <c r="AG14" s="92"/>
      <c r="AH14" s="68"/>
      <c r="AI14" s="92"/>
      <c r="AJ14" s="92"/>
      <c r="AK14" s="92"/>
      <c r="AL14" s="92"/>
      <c r="AM14" s="92"/>
      <c r="AN14" s="92"/>
      <c r="AO14" s="92"/>
      <c r="AP14" s="92"/>
    </row>
    <row r="15" spans="1:42" ht="12.95" customHeight="1">
      <c r="A15" s="180"/>
      <c r="B15" s="183" t="s">
        <v>194</v>
      </c>
      <c r="C15" s="183" t="s">
        <v>195</v>
      </c>
      <c r="D15" s="183" t="s">
        <v>196</v>
      </c>
      <c r="E15" s="183" t="s">
        <v>197</v>
      </c>
      <c r="F15" s="183" t="s">
        <v>198</v>
      </c>
      <c r="G15" s="183" t="s">
        <v>194</v>
      </c>
      <c r="H15" s="183" t="s">
        <v>195</v>
      </c>
      <c r="I15" s="183" t="s">
        <v>196</v>
      </c>
      <c r="J15" s="183" t="s">
        <v>197</v>
      </c>
      <c r="K15" s="183" t="s">
        <v>198</v>
      </c>
      <c r="L15" s="183" t="s">
        <v>194</v>
      </c>
      <c r="M15" s="183" t="s">
        <v>195</v>
      </c>
      <c r="N15" s="183" t="s">
        <v>196</v>
      </c>
      <c r="O15" s="183" t="s">
        <v>197</v>
      </c>
      <c r="P15" s="183" t="s">
        <v>198</v>
      </c>
      <c r="Q15" s="183" t="s">
        <v>194</v>
      </c>
      <c r="R15" s="183" t="s">
        <v>195</v>
      </c>
      <c r="S15" s="183" t="s">
        <v>196</v>
      </c>
      <c r="T15" s="183" t="s">
        <v>197</v>
      </c>
      <c r="U15" s="183" t="s">
        <v>198</v>
      </c>
      <c r="V15" s="183" t="s">
        <v>194</v>
      </c>
      <c r="W15" s="183" t="s">
        <v>195</v>
      </c>
      <c r="X15" s="183" t="s">
        <v>196</v>
      </c>
      <c r="Y15" s="183" t="s">
        <v>197</v>
      </c>
      <c r="Z15" s="183" t="s">
        <v>198</v>
      </c>
      <c r="AA15" s="183" t="s">
        <v>194</v>
      </c>
      <c r="AB15" s="182" t="s">
        <v>195</v>
      </c>
      <c r="AC15" s="182" t="s">
        <v>196</v>
      </c>
      <c r="AD15" s="182" t="s">
        <v>197</v>
      </c>
      <c r="AE15" s="182" t="s">
        <v>198</v>
      </c>
      <c r="AF15" s="92"/>
      <c r="AG15" s="92"/>
      <c r="AH15" s="68"/>
      <c r="AI15" s="92"/>
      <c r="AJ15" s="92"/>
      <c r="AK15" s="92"/>
      <c r="AL15" s="92"/>
      <c r="AM15" s="92"/>
      <c r="AN15" s="92"/>
      <c r="AO15" s="92"/>
      <c r="AP15" s="92"/>
    </row>
    <row r="16" spans="1:42" ht="12" customHeight="1">
      <c r="A16" s="93" t="s">
        <v>199</v>
      </c>
      <c r="B16" s="586">
        <v>25</v>
      </c>
      <c r="C16" s="586">
        <v>49</v>
      </c>
      <c r="D16" s="586">
        <v>11</v>
      </c>
      <c r="E16" s="586">
        <v>41</v>
      </c>
      <c r="F16" s="586">
        <v>22</v>
      </c>
      <c r="G16" s="94">
        <v>40</v>
      </c>
      <c r="H16" s="94">
        <v>96</v>
      </c>
      <c r="I16" s="94">
        <v>35</v>
      </c>
      <c r="J16" s="94">
        <v>74</v>
      </c>
      <c r="K16" s="94">
        <v>27</v>
      </c>
      <c r="L16" s="94">
        <v>22</v>
      </c>
      <c r="M16" s="94">
        <v>102</v>
      </c>
      <c r="N16" s="94">
        <v>29</v>
      </c>
      <c r="O16" s="94">
        <v>72</v>
      </c>
      <c r="P16" s="94">
        <v>23</v>
      </c>
      <c r="Q16" s="94">
        <v>31</v>
      </c>
      <c r="R16" s="94">
        <v>99</v>
      </c>
      <c r="S16" s="94">
        <v>21</v>
      </c>
      <c r="T16" s="94">
        <v>85</v>
      </c>
      <c r="U16" s="94">
        <v>24</v>
      </c>
      <c r="V16" s="94">
        <v>18</v>
      </c>
      <c r="W16" s="94">
        <v>37</v>
      </c>
      <c r="X16" s="94">
        <v>4</v>
      </c>
      <c r="Y16" s="94">
        <v>34</v>
      </c>
      <c r="Z16" s="94">
        <v>17</v>
      </c>
      <c r="AA16" s="94">
        <v>24</v>
      </c>
      <c r="AB16" s="94">
        <v>31</v>
      </c>
      <c r="AC16" s="94">
        <v>7</v>
      </c>
      <c r="AD16" s="94">
        <v>35</v>
      </c>
      <c r="AE16" s="94">
        <v>13</v>
      </c>
      <c r="AF16" s="92"/>
      <c r="AG16" s="92"/>
      <c r="AH16" s="68"/>
      <c r="AI16" s="92"/>
      <c r="AJ16" s="92"/>
      <c r="AK16" s="92"/>
      <c r="AL16" s="92"/>
      <c r="AM16" s="92"/>
      <c r="AN16" s="92"/>
      <c r="AO16" s="92"/>
      <c r="AP16" s="92"/>
    </row>
    <row r="17" spans="1:50" ht="12" customHeight="1">
      <c r="A17" s="96" t="s">
        <v>200</v>
      </c>
      <c r="B17" s="215">
        <f>B16/($B$16+$C$16)</f>
        <v>0.33783783783783783</v>
      </c>
      <c r="C17" s="215">
        <f>C16/($B$16+$C$16)</f>
        <v>0.66216216216216217</v>
      </c>
      <c r="D17" s="215">
        <f>D16/($D$16+$E$16+$F$16)</f>
        <v>0.14864864864864866</v>
      </c>
      <c r="E17" s="215">
        <f t="shared" ref="E17:F17" si="4">E16/($D$16+$E$16+$F$16)</f>
        <v>0.55405405405405406</v>
      </c>
      <c r="F17" s="215">
        <f t="shared" si="4"/>
        <v>0.29729729729729731</v>
      </c>
      <c r="G17" s="570">
        <v>0.29399999999999998</v>
      </c>
      <c r="H17" s="570">
        <v>0.70599999999999996</v>
      </c>
      <c r="I17" s="570">
        <v>0.25700000000000001</v>
      </c>
      <c r="J17" s="570">
        <v>0.54400000000000004</v>
      </c>
      <c r="K17" s="570">
        <v>0.19900000000000001</v>
      </c>
      <c r="L17" s="215">
        <f>L16/($L$16+$M$16)</f>
        <v>0.17741935483870969</v>
      </c>
      <c r="M17" s="215">
        <f>M16/($L$16+$M$16)</f>
        <v>0.82258064516129037</v>
      </c>
      <c r="N17" s="215">
        <f>N16/($N$16+$O$16+$P$16)</f>
        <v>0.23387096774193547</v>
      </c>
      <c r="O17" s="215">
        <f>O16/($N$16+$O$16+$P$16)</f>
        <v>0.58064516129032262</v>
      </c>
      <c r="P17" s="215">
        <f>P16/($N$16+$O$16+$P$16)</f>
        <v>0.18548387096774194</v>
      </c>
      <c r="Q17" s="215">
        <f>Q16/($Q$16+$R$16)</f>
        <v>0.23846153846153847</v>
      </c>
      <c r="R17" s="215">
        <f>R16/($Q$16+$R$16)</f>
        <v>0.7615384615384615</v>
      </c>
      <c r="S17" s="215">
        <f>S16/($S$16+$T$16+$U$16)</f>
        <v>0.16153846153846155</v>
      </c>
      <c r="T17" s="215">
        <f>T16/($S$16+$T$16+$U$16)</f>
        <v>0.65384615384615385</v>
      </c>
      <c r="U17" s="215">
        <f>U16/($S$16+$T$16+$U$16)</f>
        <v>0.18461538461538463</v>
      </c>
      <c r="V17" s="215">
        <v>0.32700000000000001</v>
      </c>
      <c r="W17" s="215">
        <v>0.67300000000000004</v>
      </c>
      <c r="X17" s="215">
        <v>7.2999999999999995E-2</v>
      </c>
      <c r="Y17" s="215">
        <v>0.61799999999999999</v>
      </c>
      <c r="Z17" s="215">
        <v>0.309</v>
      </c>
      <c r="AA17" s="215">
        <v>0.436</v>
      </c>
      <c r="AB17" s="215">
        <v>0.56399999999999995</v>
      </c>
      <c r="AC17" s="215">
        <v>0.127</v>
      </c>
      <c r="AD17" s="215">
        <v>0.63600000000000001</v>
      </c>
      <c r="AE17" s="215">
        <v>0.23599999999999999</v>
      </c>
      <c r="AF17" s="92"/>
      <c r="AG17" s="92"/>
      <c r="AH17" s="68"/>
      <c r="AI17" s="92"/>
      <c r="AJ17" s="92"/>
      <c r="AK17" s="92"/>
      <c r="AL17" s="92"/>
      <c r="AM17" s="92"/>
      <c r="AN17" s="92"/>
      <c r="AO17" s="92"/>
      <c r="AP17" s="92"/>
    </row>
    <row r="18" spans="1:50" ht="12" customHeight="1">
      <c r="A18" s="96" t="s">
        <v>201</v>
      </c>
      <c r="B18" s="587">
        <v>5</v>
      </c>
      <c r="C18" s="587">
        <v>280</v>
      </c>
      <c r="D18" s="587">
        <v>127</v>
      </c>
      <c r="E18" s="587">
        <v>135</v>
      </c>
      <c r="F18" s="587">
        <v>23</v>
      </c>
      <c r="G18" s="97">
        <v>1</v>
      </c>
      <c r="H18" s="97">
        <v>328</v>
      </c>
      <c r="I18" s="97">
        <v>130</v>
      </c>
      <c r="J18" s="97">
        <v>167</v>
      </c>
      <c r="K18" s="97">
        <v>32</v>
      </c>
      <c r="L18" s="97">
        <v>0</v>
      </c>
      <c r="M18" s="97">
        <v>297</v>
      </c>
      <c r="N18" s="97">
        <v>127</v>
      </c>
      <c r="O18" s="97">
        <v>139</v>
      </c>
      <c r="P18" s="97">
        <v>31</v>
      </c>
      <c r="Q18" s="97">
        <v>6</v>
      </c>
      <c r="R18" s="97">
        <v>311</v>
      </c>
      <c r="S18" s="97">
        <v>115</v>
      </c>
      <c r="T18" s="97">
        <v>167</v>
      </c>
      <c r="U18" s="97">
        <v>35</v>
      </c>
      <c r="V18" s="97">
        <v>0</v>
      </c>
      <c r="W18" s="97">
        <v>328</v>
      </c>
      <c r="X18" s="97">
        <v>76</v>
      </c>
      <c r="Y18" s="97">
        <v>212</v>
      </c>
      <c r="Z18" s="97">
        <v>40</v>
      </c>
      <c r="AA18" s="97">
        <v>0</v>
      </c>
      <c r="AB18" s="97">
        <v>89</v>
      </c>
      <c r="AC18" s="97">
        <v>20</v>
      </c>
      <c r="AD18" s="97">
        <v>56</v>
      </c>
      <c r="AE18" s="97">
        <v>13</v>
      </c>
      <c r="AF18" s="92"/>
      <c r="AG18" s="92"/>
      <c r="AH18" s="68"/>
      <c r="AI18" s="92"/>
      <c r="AJ18" s="92"/>
      <c r="AK18" s="92"/>
      <c r="AL18" s="92"/>
      <c r="AM18" s="92"/>
      <c r="AN18" s="92"/>
      <c r="AO18" s="92"/>
      <c r="AP18" s="92"/>
    </row>
    <row r="19" spans="1:50" ht="12" customHeight="1">
      <c r="A19" s="93" t="s">
        <v>202</v>
      </c>
      <c r="B19" s="215">
        <f>B18/($B$18+$C$18)</f>
        <v>1.7543859649122806E-2</v>
      </c>
      <c r="C19" s="215">
        <f>C18/($B$18+$C$18)</f>
        <v>0.98245614035087714</v>
      </c>
      <c r="D19" s="215">
        <f>D18/($D$18+$E$18+$F$18)</f>
        <v>0.4456140350877193</v>
      </c>
      <c r="E19" s="215">
        <f t="shared" ref="E19:F19" si="5">E18/($D$18+$E$18+$F$18)</f>
        <v>0.47368421052631576</v>
      </c>
      <c r="F19" s="215">
        <f t="shared" si="5"/>
        <v>8.0701754385964913E-2</v>
      </c>
      <c r="G19" s="215">
        <f>G18/($G$18+$H$18)</f>
        <v>3.0395136778115501E-3</v>
      </c>
      <c r="H19" s="215">
        <f>H18/($G$18+$H$18)</f>
        <v>0.99696048632218848</v>
      </c>
      <c r="I19" s="215">
        <f>I18/($I$18+$J$18+$K$18)</f>
        <v>0.39513677811550152</v>
      </c>
      <c r="J19" s="215">
        <f>J18/($I$18+$J$18+$K$18)</f>
        <v>0.50759878419452886</v>
      </c>
      <c r="K19" s="215">
        <f>K18/($I$18+$J$18+$K$18)</f>
        <v>9.7264437689969604E-2</v>
      </c>
      <c r="L19" s="215">
        <f>L18/($L$16+$M$16)</f>
        <v>0</v>
      </c>
      <c r="M19" s="215">
        <f>M18/($L$16+$M$16)</f>
        <v>2.3951612903225805</v>
      </c>
      <c r="N19" s="215">
        <f>N18/($N$16+$O$16+$P$16)</f>
        <v>1.0241935483870968</v>
      </c>
      <c r="O19" s="215">
        <f>O18/($N$16+$O$16+$P$16)</f>
        <v>1.1209677419354838</v>
      </c>
      <c r="P19" s="215">
        <f>P18/($N$16+$O$16+$P$16)</f>
        <v>0.25</v>
      </c>
      <c r="Q19" s="215">
        <f>Q18/($Q$18+$R$18)</f>
        <v>1.8927444794952682E-2</v>
      </c>
      <c r="R19" s="215">
        <f>R18/($Q$18+$R$18)</f>
        <v>0.98107255520504733</v>
      </c>
      <c r="S19" s="215">
        <f>S18/($S$18+$T$18+$U$18)</f>
        <v>0.36277602523659308</v>
      </c>
      <c r="T19" s="215">
        <f>T18/($S$18+$T$18+$U$18)</f>
        <v>0.52681388012618302</v>
      </c>
      <c r="U19" s="215">
        <f>U18/($S$18+$T$18+$U$18)</f>
        <v>0.11041009463722397</v>
      </c>
      <c r="V19" s="216">
        <v>0</v>
      </c>
      <c r="W19" s="216">
        <v>1</v>
      </c>
      <c r="X19" s="216">
        <v>0.23200000000000001</v>
      </c>
      <c r="Y19" s="216">
        <v>0.64600000000000002</v>
      </c>
      <c r="Z19" s="216">
        <v>0.122</v>
      </c>
      <c r="AA19" s="216">
        <v>0</v>
      </c>
      <c r="AB19" s="216">
        <v>1</v>
      </c>
      <c r="AC19" s="216">
        <v>0.22500000000000001</v>
      </c>
      <c r="AD19" s="216">
        <v>0.629</v>
      </c>
      <c r="AE19" s="216">
        <v>0.14599999999999999</v>
      </c>
      <c r="AF19" s="92"/>
      <c r="AG19" s="92"/>
      <c r="AH19" s="68"/>
      <c r="AI19" s="92"/>
      <c r="AJ19" s="92"/>
      <c r="AK19" s="92"/>
      <c r="AL19" s="92"/>
      <c r="AM19" s="92"/>
      <c r="AN19" s="92"/>
      <c r="AO19" s="92"/>
      <c r="AP19" s="92"/>
    </row>
    <row r="20" spans="1:50" ht="12" customHeight="1">
      <c r="A20" s="98" t="s">
        <v>203</v>
      </c>
      <c r="B20" s="588">
        <f>B16+B18</f>
        <v>30</v>
      </c>
      <c r="C20" s="588">
        <f>C16+C18</f>
        <v>329</v>
      </c>
      <c r="D20" s="588">
        <f t="shared" ref="D20:F20" si="6">D16+D18</f>
        <v>138</v>
      </c>
      <c r="E20" s="588">
        <f t="shared" si="6"/>
        <v>176</v>
      </c>
      <c r="F20" s="588">
        <f t="shared" si="6"/>
        <v>45</v>
      </c>
      <c r="G20" s="101">
        <f t="shared" ref="G20:K20" si="7">G16+G18</f>
        <v>41</v>
      </c>
      <c r="H20" s="101">
        <f t="shared" si="7"/>
        <v>424</v>
      </c>
      <c r="I20" s="101">
        <f t="shared" si="7"/>
        <v>165</v>
      </c>
      <c r="J20" s="101">
        <f t="shared" si="7"/>
        <v>241</v>
      </c>
      <c r="K20" s="101">
        <f t="shared" si="7"/>
        <v>59</v>
      </c>
      <c r="L20" s="101">
        <f t="shared" ref="L20:P20" si="8">L16+L18</f>
        <v>22</v>
      </c>
      <c r="M20" s="101">
        <f t="shared" si="8"/>
        <v>399</v>
      </c>
      <c r="N20" s="101">
        <f t="shared" si="8"/>
        <v>156</v>
      </c>
      <c r="O20" s="101">
        <f t="shared" si="8"/>
        <v>211</v>
      </c>
      <c r="P20" s="101">
        <f t="shared" si="8"/>
        <v>54</v>
      </c>
      <c r="Q20" s="101">
        <f t="shared" ref="Q20:AE20" si="9">Q16+Q18</f>
        <v>37</v>
      </c>
      <c r="R20" s="101">
        <f t="shared" si="9"/>
        <v>410</v>
      </c>
      <c r="S20" s="101">
        <f t="shared" si="9"/>
        <v>136</v>
      </c>
      <c r="T20" s="101">
        <f t="shared" si="9"/>
        <v>252</v>
      </c>
      <c r="U20" s="101">
        <f t="shared" si="9"/>
        <v>59</v>
      </c>
      <c r="V20" s="101">
        <f t="shared" si="9"/>
        <v>18</v>
      </c>
      <c r="W20" s="101">
        <f t="shared" si="9"/>
        <v>365</v>
      </c>
      <c r="X20" s="101">
        <f t="shared" si="9"/>
        <v>80</v>
      </c>
      <c r="Y20" s="101">
        <f t="shared" si="9"/>
        <v>246</v>
      </c>
      <c r="Z20" s="101">
        <f t="shared" si="9"/>
        <v>57</v>
      </c>
      <c r="AA20" s="101">
        <f t="shared" si="9"/>
        <v>24</v>
      </c>
      <c r="AB20" s="101">
        <f t="shared" si="9"/>
        <v>120</v>
      </c>
      <c r="AC20" s="101">
        <f t="shared" si="9"/>
        <v>27</v>
      </c>
      <c r="AD20" s="101">
        <f t="shared" si="9"/>
        <v>91</v>
      </c>
      <c r="AE20" s="101">
        <f t="shared" si="9"/>
        <v>26</v>
      </c>
      <c r="AF20" s="92"/>
      <c r="AG20" s="92"/>
      <c r="AH20" s="68"/>
      <c r="AI20" s="92"/>
      <c r="AJ20" s="92"/>
      <c r="AK20" s="92"/>
      <c r="AL20" s="92"/>
      <c r="AM20" s="92"/>
      <c r="AN20" s="92"/>
      <c r="AO20" s="92"/>
      <c r="AP20" s="92"/>
    </row>
    <row r="21" spans="1:50" ht="12" customHeight="1">
      <c r="A21" s="93"/>
      <c r="B21" s="586"/>
      <c r="C21" s="93"/>
      <c r="D21" s="93"/>
      <c r="E21" s="93"/>
      <c r="F21" s="93"/>
      <c r="G21" s="93"/>
      <c r="H21" s="93"/>
      <c r="I21" s="94"/>
      <c r="J21" s="94"/>
      <c r="K21" s="94"/>
      <c r="L21" s="94"/>
      <c r="M21" s="94"/>
      <c r="N21" s="94"/>
      <c r="O21" s="68"/>
      <c r="P21" s="68"/>
      <c r="Q21" s="68"/>
      <c r="R21" s="68"/>
      <c r="S21" s="68"/>
      <c r="T21" s="92"/>
      <c r="U21" s="92"/>
      <c r="V21" s="92"/>
      <c r="W21" s="92"/>
      <c r="X21" s="92"/>
      <c r="Y21" s="92"/>
      <c r="Z21" s="92"/>
      <c r="AA21" s="92"/>
    </row>
    <row r="22" spans="1:50" ht="12" customHeight="1">
      <c r="A22" s="180"/>
      <c r="B22" s="636">
        <v>2025</v>
      </c>
      <c r="C22" s="636"/>
      <c r="D22" s="636"/>
      <c r="E22" s="636"/>
      <c r="F22" s="636"/>
      <c r="G22" s="636"/>
      <c r="H22" s="636"/>
      <c r="I22" s="636">
        <v>2024</v>
      </c>
      <c r="J22" s="636"/>
      <c r="K22" s="636"/>
      <c r="L22" s="636"/>
      <c r="M22" s="636"/>
      <c r="N22" s="636"/>
      <c r="O22" s="636"/>
      <c r="P22" s="636">
        <v>2023</v>
      </c>
      <c r="Q22" s="636"/>
      <c r="R22" s="636"/>
      <c r="S22" s="636"/>
      <c r="T22" s="636"/>
      <c r="U22" s="636"/>
      <c r="V22" s="636"/>
      <c r="W22" s="636">
        <v>2022</v>
      </c>
      <c r="X22" s="636"/>
      <c r="Y22" s="636"/>
      <c r="Z22" s="636"/>
      <c r="AA22" s="636"/>
      <c r="AB22" s="636"/>
      <c r="AC22" s="636"/>
      <c r="AD22" s="636">
        <v>2021</v>
      </c>
      <c r="AE22" s="636"/>
      <c r="AF22" s="636"/>
      <c r="AG22" s="636"/>
      <c r="AH22" s="636"/>
      <c r="AI22" s="636"/>
      <c r="AJ22" s="636"/>
      <c r="AK22" s="636">
        <v>2020</v>
      </c>
      <c r="AL22" s="636"/>
      <c r="AM22" s="636"/>
      <c r="AN22" s="636"/>
      <c r="AO22" s="636"/>
      <c r="AP22" s="636"/>
      <c r="AQ22" s="636"/>
      <c r="AR22" s="636">
        <v>2019</v>
      </c>
      <c r="AS22" s="636"/>
      <c r="AT22" s="636">
        <v>2018</v>
      </c>
      <c r="AU22" s="636"/>
      <c r="AV22" s="92"/>
      <c r="AW22" s="92"/>
      <c r="AX22" s="92"/>
    </row>
    <row r="23" spans="1:50" ht="12" customHeight="1">
      <c r="A23" s="181" t="s">
        <v>204</v>
      </c>
      <c r="B23" s="636" t="s">
        <v>192</v>
      </c>
      <c r="C23" s="636"/>
      <c r="D23" s="636" t="s">
        <v>193</v>
      </c>
      <c r="E23" s="636"/>
      <c r="F23" s="636"/>
      <c r="G23" s="636" t="s">
        <v>205</v>
      </c>
      <c r="H23" s="636" t="s">
        <v>206</v>
      </c>
      <c r="I23" s="636" t="s">
        <v>192</v>
      </c>
      <c r="J23" s="636"/>
      <c r="K23" s="636" t="s">
        <v>193</v>
      </c>
      <c r="L23" s="636"/>
      <c r="M23" s="636"/>
      <c r="N23" s="636" t="s">
        <v>205</v>
      </c>
      <c r="O23" s="636" t="s">
        <v>206</v>
      </c>
      <c r="P23" s="636" t="s">
        <v>192</v>
      </c>
      <c r="Q23" s="636"/>
      <c r="R23" s="636" t="s">
        <v>193</v>
      </c>
      <c r="S23" s="636"/>
      <c r="T23" s="636"/>
      <c r="U23" s="636" t="s">
        <v>205</v>
      </c>
      <c r="V23" s="636" t="s">
        <v>206</v>
      </c>
      <c r="W23" s="636" t="s">
        <v>192</v>
      </c>
      <c r="X23" s="636"/>
      <c r="Y23" s="636" t="s">
        <v>193</v>
      </c>
      <c r="Z23" s="636"/>
      <c r="AA23" s="636"/>
      <c r="AB23" s="636" t="s">
        <v>205</v>
      </c>
      <c r="AC23" s="636" t="s">
        <v>206</v>
      </c>
      <c r="AD23" s="636" t="s">
        <v>192</v>
      </c>
      <c r="AE23" s="636"/>
      <c r="AF23" s="636" t="s">
        <v>193</v>
      </c>
      <c r="AG23" s="636"/>
      <c r="AH23" s="636"/>
      <c r="AI23" s="636" t="s">
        <v>205</v>
      </c>
      <c r="AJ23" s="636" t="s">
        <v>206</v>
      </c>
      <c r="AK23" s="636" t="s">
        <v>192</v>
      </c>
      <c r="AL23" s="636"/>
      <c r="AM23" s="636" t="s">
        <v>193</v>
      </c>
      <c r="AN23" s="636"/>
      <c r="AO23" s="636"/>
      <c r="AP23" s="636" t="s">
        <v>205</v>
      </c>
      <c r="AQ23" s="636" t="s">
        <v>206</v>
      </c>
      <c r="AR23" s="636" t="s">
        <v>205</v>
      </c>
      <c r="AS23" s="636" t="s">
        <v>206</v>
      </c>
      <c r="AT23" s="636" t="s">
        <v>205</v>
      </c>
      <c r="AU23" s="636" t="s">
        <v>206</v>
      </c>
      <c r="AV23" s="92"/>
      <c r="AW23" s="92"/>
      <c r="AX23" s="92"/>
    </row>
    <row r="24" spans="1:50" ht="22.5" customHeight="1">
      <c r="A24" s="180"/>
      <c r="B24" s="182" t="s">
        <v>194</v>
      </c>
      <c r="C24" s="182" t="s">
        <v>195</v>
      </c>
      <c r="D24" s="182" t="s">
        <v>196</v>
      </c>
      <c r="E24" s="182" t="s">
        <v>197</v>
      </c>
      <c r="F24" s="182" t="s">
        <v>198</v>
      </c>
      <c r="G24" s="636"/>
      <c r="H24" s="636"/>
      <c r="I24" s="182" t="s">
        <v>194</v>
      </c>
      <c r="J24" s="182" t="s">
        <v>195</v>
      </c>
      <c r="K24" s="182" t="s">
        <v>196</v>
      </c>
      <c r="L24" s="182" t="s">
        <v>197</v>
      </c>
      <c r="M24" s="182" t="s">
        <v>198</v>
      </c>
      <c r="N24" s="636"/>
      <c r="O24" s="636"/>
      <c r="P24" s="182" t="s">
        <v>194</v>
      </c>
      <c r="Q24" s="182" t="s">
        <v>195</v>
      </c>
      <c r="R24" s="182" t="s">
        <v>196</v>
      </c>
      <c r="S24" s="182" t="s">
        <v>197</v>
      </c>
      <c r="T24" s="182" t="s">
        <v>198</v>
      </c>
      <c r="U24" s="636"/>
      <c r="V24" s="636"/>
      <c r="W24" s="182" t="s">
        <v>194</v>
      </c>
      <c r="X24" s="182" t="s">
        <v>195</v>
      </c>
      <c r="Y24" s="182" t="s">
        <v>196</v>
      </c>
      <c r="Z24" s="182" t="s">
        <v>197</v>
      </c>
      <c r="AA24" s="182" t="s">
        <v>198</v>
      </c>
      <c r="AB24" s="636"/>
      <c r="AC24" s="636"/>
      <c r="AD24" s="182" t="s">
        <v>194</v>
      </c>
      <c r="AE24" s="182" t="s">
        <v>195</v>
      </c>
      <c r="AF24" s="182" t="s">
        <v>196</v>
      </c>
      <c r="AG24" s="182" t="s">
        <v>197</v>
      </c>
      <c r="AH24" s="182" t="s">
        <v>198</v>
      </c>
      <c r="AI24" s="636"/>
      <c r="AJ24" s="636"/>
      <c r="AK24" s="182" t="s">
        <v>194</v>
      </c>
      <c r="AL24" s="182" t="s">
        <v>195</v>
      </c>
      <c r="AM24" s="182" t="s">
        <v>196</v>
      </c>
      <c r="AN24" s="182" t="s">
        <v>197</v>
      </c>
      <c r="AO24" s="182" t="s">
        <v>198</v>
      </c>
      <c r="AP24" s="636"/>
      <c r="AQ24" s="636"/>
      <c r="AR24" s="636"/>
      <c r="AS24" s="636"/>
      <c r="AT24" s="636"/>
      <c r="AU24" s="636"/>
      <c r="AV24" s="92"/>
      <c r="AW24" s="92"/>
      <c r="AX24" s="92"/>
    </row>
    <row r="25" spans="1:50" ht="12" hidden="1" customHeight="1">
      <c r="A25" s="102" t="s">
        <v>163</v>
      </c>
      <c r="B25" s="589">
        <v>29</v>
      </c>
      <c r="C25" s="589">
        <v>50</v>
      </c>
      <c r="D25" s="589">
        <v>9</v>
      </c>
      <c r="E25" s="589">
        <v>52</v>
      </c>
      <c r="F25" s="589">
        <v>18</v>
      </c>
      <c r="G25" s="222">
        <f>(B25+C25)/B6</f>
        <v>0.16458333333333333</v>
      </c>
      <c r="H25" s="595">
        <f>67/B6</f>
        <v>0.13958333333333334</v>
      </c>
      <c r="I25" s="536">
        <v>37</v>
      </c>
      <c r="J25" s="536">
        <v>98</v>
      </c>
      <c r="K25" s="536">
        <v>9</v>
      </c>
      <c r="L25" s="536">
        <v>77</v>
      </c>
      <c r="M25" s="536">
        <v>49</v>
      </c>
      <c r="N25" s="222">
        <f>(I25+J25)/F6</f>
        <v>0.27720739219712526</v>
      </c>
      <c r="O25" s="222">
        <f>88/F6</f>
        <v>0.1806981519507187</v>
      </c>
      <c r="P25" s="103">
        <v>22</v>
      </c>
      <c r="Q25" s="103">
        <v>66</v>
      </c>
      <c r="R25" s="103">
        <v>10</v>
      </c>
      <c r="S25" s="103">
        <v>42</v>
      </c>
      <c r="T25" s="103">
        <v>36</v>
      </c>
      <c r="U25" s="222">
        <f>(P25+Q25)/J6</f>
        <v>0.18144329896907216</v>
      </c>
      <c r="V25" s="222">
        <f>75/J6</f>
        <v>0.15463917525773196</v>
      </c>
      <c r="W25" s="103">
        <v>17</v>
      </c>
      <c r="X25" s="103">
        <v>55</v>
      </c>
      <c r="Y25" s="103">
        <v>8</v>
      </c>
      <c r="Z25" s="103">
        <v>41</v>
      </c>
      <c r="AA25" s="103">
        <v>23</v>
      </c>
      <c r="AB25" s="222">
        <f>(W25+X25)/N6</f>
        <v>0.16035634743875279</v>
      </c>
      <c r="AC25" s="222">
        <f>65/N6</f>
        <v>0.1447661469933185</v>
      </c>
      <c r="AD25" s="103">
        <v>33</v>
      </c>
      <c r="AE25" s="103">
        <v>75</v>
      </c>
      <c r="AF25" s="103">
        <v>10</v>
      </c>
      <c r="AG25" s="103">
        <v>62</v>
      </c>
      <c r="AH25" s="103">
        <v>36</v>
      </c>
      <c r="AI25" s="222">
        <v>0.27700000000000002</v>
      </c>
      <c r="AJ25" s="222">
        <v>0.17199999999999999</v>
      </c>
      <c r="AK25" s="103">
        <v>25</v>
      </c>
      <c r="AL25" s="103">
        <v>38</v>
      </c>
      <c r="AM25" s="103">
        <v>17</v>
      </c>
      <c r="AN25" s="103">
        <v>29</v>
      </c>
      <c r="AO25" s="103">
        <v>17</v>
      </c>
      <c r="AP25" s="222">
        <v>0.14199999999999999</v>
      </c>
      <c r="AQ25" s="222">
        <v>8.4000000000000005E-2</v>
      </c>
      <c r="AR25" s="103">
        <v>13</v>
      </c>
      <c r="AS25" s="103">
        <v>8</v>
      </c>
      <c r="AT25" s="103">
        <v>23</v>
      </c>
      <c r="AU25" s="103">
        <v>15</v>
      </c>
      <c r="AV25" s="92"/>
      <c r="AW25" s="92"/>
      <c r="AX25" s="92"/>
    </row>
    <row r="26" spans="1:50" ht="12" customHeight="1">
      <c r="A26" s="93" t="s">
        <v>67</v>
      </c>
      <c r="B26" s="586">
        <v>4</v>
      </c>
      <c r="C26" s="586">
        <v>436</v>
      </c>
      <c r="D26" s="586">
        <v>132</v>
      </c>
      <c r="E26" s="586">
        <v>224</v>
      </c>
      <c r="F26" s="586">
        <v>84</v>
      </c>
      <c r="G26" s="222">
        <f>(B26+C26)/(B7+B8+B9+B10)</f>
        <v>0.33358605003790753</v>
      </c>
      <c r="H26" s="222">
        <f>175/(B7+B8+B9+B10)</f>
        <v>0.13267626990144049</v>
      </c>
      <c r="I26" s="103">
        <v>4</v>
      </c>
      <c r="J26" s="94">
        <v>252</v>
      </c>
      <c r="K26" s="94">
        <v>59</v>
      </c>
      <c r="L26" s="94">
        <v>140</v>
      </c>
      <c r="M26" s="94">
        <v>57</v>
      </c>
      <c r="N26" s="222">
        <f>(I26+J26)/(F7+F8+F9+F10)</f>
        <v>0.17486338797814208</v>
      </c>
      <c r="O26" s="216">
        <f>193/(F7+F8+F9+F10)</f>
        <v>0.13183060109289618</v>
      </c>
      <c r="P26" s="94">
        <v>1</v>
      </c>
      <c r="Q26" s="94">
        <v>186</v>
      </c>
      <c r="R26" s="94">
        <v>47</v>
      </c>
      <c r="S26" s="94">
        <v>109</v>
      </c>
      <c r="T26" s="94">
        <v>31</v>
      </c>
      <c r="U26" s="222">
        <f>(P26+Q26)/(J7+J8+J9+J10)</f>
        <v>0.13424264178033021</v>
      </c>
      <c r="V26" s="216">
        <f>152/(J7+J8+J9+J10)</f>
        <v>0.10911701363962671</v>
      </c>
      <c r="W26" s="94">
        <v>5</v>
      </c>
      <c r="X26" s="94">
        <v>210</v>
      </c>
      <c r="Y26" s="94">
        <v>38</v>
      </c>
      <c r="Z26" s="94">
        <v>139</v>
      </c>
      <c r="AA26" s="94">
        <v>38</v>
      </c>
      <c r="AB26" s="222">
        <f>(W26+X26)/(N7+N8+N9+N10)</f>
        <v>0.1671850699844479</v>
      </c>
      <c r="AC26" s="216">
        <f>186/(N7+N8+N9+N10)</f>
        <v>0.14463452566096424</v>
      </c>
      <c r="AD26" s="94">
        <v>1</v>
      </c>
      <c r="AE26" s="94">
        <v>192</v>
      </c>
      <c r="AF26" s="94">
        <v>23</v>
      </c>
      <c r="AG26" s="94">
        <v>114</v>
      </c>
      <c r="AH26" s="94">
        <v>56</v>
      </c>
      <c r="AI26" s="216">
        <v>0.16300000000000001</v>
      </c>
      <c r="AJ26" s="216">
        <v>0.13600000000000001</v>
      </c>
      <c r="AK26" s="94">
        <v>7</v>
      </c>
      <c r="AL26" s="94">
        <v>376</v>
      </c>
      <c r="AM26" s="94">
        <v>48</v>
      </c>
      <c r="AN26" s="94">
        <v>216</v>
      </c>
      <c r="AO26" s="94">
        <v>119</v>
      </c>
      <c r="AP26" s="216">
        <v>0.36499999999999999</v>
      </c>
      <c r="AQ26" s="216">
        <v>0.106</v>
      </c>
      <c r="AR26" s="94">
        <v>18</v>
      </c>
      <c r="AS26" s="94">
        <v>12</v>
      </c>
      <c r="AT26" s="94">
        <v>14</v>
      </c>
      <c r="AU26" s="94">
        <v>12</v>
      </c>
      <c r="AV26" s="255"/>
      <c r="AW26" s="92"/>
      <c r="AX26" s="92"/>
    </row>
    <row r="27" spans="1:50" ht="12" customHeight="1" thickBot="1">
      <c r="A27" s="98" t="s">
        <v>207</v>
      </c>
      <c r="B27" s="588">
        <f>SUM(B25:B26)</f>
        <v>33</v>
      </c>
      <c r="C27" s="588">
        <f t="shared" ref="C27:F27" si="10">SUM(C25:C26)</f>
        <v>486</v>
      </c>
      <c r="D27" s="588">
        <f t="shared" si="10"/>
        <v>141</v>
      </c>
      <c r="E27" s="588">
        <f t="shared" si="10"/>
        <v>276</v>
      </c>
      <c r="F27" s="588">
        <f t="shared" si="10"/>
        <v>102</v>
      </c>
      <c r="G27" s="221">
        <f>(B25+C25+B26+C26)/B11</f>
        <v>0.28849360755975539</v>
      </c>
      <c r="H27" s="221">
        <f>(67+175)/B11</f>
        <v>0.13451917732073373</v>
      </c>
      <c r="I27" s="101">
        <f>SUM(I25:I26)</f>
        <v>41</v>
      </c>
      <c r="J27" s="101">
        <f t="shared" ref="J27:M27" si="11">SUM(J25:J26)</f>
        <v>350</v>
      </c>
      <c r="K27" s="101">
        <f t="shared" si="11"/>
        <v>68</v>
      </c>
      <c r="L27" s="101">
        <f t="shared" si="11"/>
        <v>217</v>
      </c>
      <c r="M27" s="101">
        <f t="shared" si="11"/>
        <v>106</v>
      </c>
      <c r="N27" s="221">
        <f>(I25+J25+I26+J26)/F11</f>
        <v>0.20041004613018965</v>
      </c>
      <c r="O27" s="221">
        <f>(88+193)/F11</f>
        <v>0.14402870322911326</v>
      </c>
      <c r="P27" s="101">
        <f>SUM(P25:P26)</f>
        <v>23</v>
      </c>
      <c r="Q27" s="101">
        <f>SUM(Q25:Q26)</f>
        <v>252</v>
      </c>
      <c r="R27" s="101">
        <f>SUM(R25:R26)</f>
        <v>57</v>
      </c>
      <c r="S27" s="101">
        <f>SUM(S25:S26)</f>
        <v>151</v>
      </c>
      <c r="T27" s="101">
        <f>SUM(T25:T26)</f>
        <v>67</v>
      </c>
      <c r="U27" s="221">
        <f>(P25+Q25+P26+Q26)/J11</f>
        <v>0.14643237486687966</v>
      </c>
      <c r="V27" s="221">
        <f>(75+152)/J11</f>
        <v>0.12087326943556975</v>
      </c>
      <c r="W27" s="101">
        <f>SUM(W25:W26)</f>
        <v>22</v>
      </c>
      <c r="X27" s="101">
        <f>SUM(X25:X26)</f>
        <v>265</v>
      </c>
      <c r="Y27" s="101">
        <f>SUM(Y25:Y26)</f>
        <v>46</v>
      </c>
      <c r="Z27" s="101">
        <f>SUM(Z25:Z26)</f>
        <v>180</v>
      </c>
      <c r="AA27" s="101">
        <f>SUM(AA25:AA26)</f>
        <v>61</v>
      </c>
      <c r="AB27" s="221">
        <f>(W25+X25+W26+X26)/N11</f>
        <v>0.16541786743515849</v>
      </c>
      <c r="AC27" s="221">
        <f>(65+186)/N11</f>
        <v>0.14466858789625361</v>
      </c>
      <c r="AD27" s="101">
        <f>SUM(AD25:AD26)</f>
        <v>34</v>
      </c>
      <c r="AE27" s="101">
        <f>SUM(AE25:AE26)</f>
        <v>267</v>
      </c>
      <c r="AF27" s="101">
        <f>SUM(AF25:AF26)</f>
        <v>33</v>
      </c>
      <c r="AG27" s="101">
        <f>SUM(AG25:AG26)</f>
        <v>176</v>
      </c>
      <c r="AH27" s="101">
        <f>SUM(AH25:AH26)</f>
        <v>92</v>
      </c>
      <c r="AI27" s="221">
        <v>0.191</v>
      </c>
      <c r="AJ27" s="221">
        <v>0.14299999999999999</v>
      </c>
      <c r="AK27" s="101">
        <f>SUM(AK25:AK26)</f>
        <v>32</v>
      </c>
      <c r="AL27" s="101">
        <f>SUM(AL25:AL26)</f>
        <v>414</v>
      </c>
      <c r="AM27" s="101">
        <f>SUM(AM25:AM26)</f>
        <v>65</v>
      </c>
      <c r="AN27" s="101">
        <f>SUM(AN25:AN26)</f>
        <v>245</v>
      </c>
      <c r="AO27" s="101">
        <f>SUM(AO25:AO26)</f>
        <v>136</v>
      </c>
      <c r="AP27" s="221">
        <v>0.29899999999999999</v>
      </c>
      <c r="AQ27" s="221">
        <v>9.9000000000000005E-2</v>
      </c>
      <c r="AR27" s="101"/>
      <c r="AS27" s="101"/>
      <c r="AT27" s="101"/>
      <c r="AU27" s="101"/>
      <c r="AV27" s="255"/>
      <c r="AW27" s="92"/>
      <c r="AX27" s="92"/>
    </row>
    <row r="28" spans="1:50" ht="12" customHeight="1">
      <c r="A28" s="93"/>
      <c r="B28" s="586"/>
      <c r="C28" s="93"/>
      <c r="D28" s="94"/>
      <c r="E28" s="94"/>
      <c r="F28" s="94"/>
      <c r="G28" s="94"/>
      <c r="H28" s="94"/>
      <c r="I28" s="94"/>
      <c r="J28" s="94"/>
      <c r="K28" s="94"/>
      <c r="L28" s="94"/>
      <c r="M28" s="94"/>
      <c r="N28" s="94"/>
      <c r="O28" s="92"/>
      <c r="P28" s="92"/>
      <c r="Q28" s="92"/>
      <c r="R28" s="92"/>
      <c r="S28" s="92"/>
      <c r="T28" s="92"/>
      <c r="U28" s="92"/>
      <c r="V28" s="92"/>
    </row>
    <row r="29" spans="1:50" ht="12" customHeight="1">
      <c r="A29" s="638" t="s">
        <v>208</v>
      </c>
      <c r="B29" s="636">
        <v>2025</v>
      </c>
      <c r="C29" s="636"/>
      <c r="D29" s="636">
        <v>2024</v>
      </c>
      <c r="E29" s="636"/>
      <c r="F29" s="636">
        <v>2023</v>
      </c>
      <c r="G29" s="636"/>
      <c r="H29" s="636">
        <v>2022</v>
      </c>
      <c r="I29" s="636"/>
      <c r="J29" s="636">
        <v>2021</v>
      </c>
      <c r="K29" s="636"/>
      <c r="L29" s="636">
        <v>2020</v>
      </c>
      <c r="M29" s="636"/>
      <c r="N29" s="94"/>
      <c r="O29" s="94"/>
      <c r="P29" s="94"/>
      <c r="Q29" s="94"/>
      <c r="R29" s="94"/>
      <c r="S29" s="94"/>
      <c r="T29" s="94"/>
      <c r="U29" s="94"/>
      <c r="V29" s="94"/>
      <c r="W29" s="92"/>
      <c r="X29" s="92"/>
      <c r="Y29" s="92"/>
      <c r="Z29" s="92"/>
      <c r="AA29" s="92"/>
      <c r="AB29" s="92"/>
      <c r="AC29" s="92"/>
      <c r="AD29" s="92"/>
    </row>
    <row r="30" spans="1:50" ht="12" customHeight="1">
      <c r="A30" s="638"/>
      <c r="B30" s="182" t="s">
        <v>194</v>
      </c>
      <c r="C30" s="182" t="s">
        <v>195</v>
      </c>
      <c r="D30" s="182" t="s">
        <v>194</v>
      </c>
      <c r="E30" s="182" t="s">
        <v>195</v>
      </c>
      <c r="F30" s="182" t="s">
        <v>194</v>
      </c>
      <c r="G30" s="182" t="s">
        <v>195</v>
      </c>
      <c r="H30" s="182" t="s">
        <v>194</v>
      </c>
      <c r="I30" s="182" t="s">
        <v>195</v>
      </c>
      <c r="J30" s="182" t="s">
        <v>194</v>
      </c>
      <c r="K30" s="182" t="s">
        <v>195</v>
      </c>
      <c r="L30" s="182" t="s">
        <v>194</v>
      </c>
      <c r="M30" s="182" t="s">
        <v>195</v>
      </c>
      <c r="N30" s="94"/>
      <c r="O30" s="94"/>
      <c r="P30" s="94"/>
      <c r="Q30" s="94"/>
      <c r="R30" s="94"/>
      <c r="S30" s="94"/>
      <c r="T30" s="94"/>
      <c r="U30" s="94"/>
      <c r="V30" s="94"/>
      <c r="W30" s="92"/>
      <c r="X30" s="92"/>
      <c r="Y30" s="92"/>
      <c r="Z30" s="92"/>
      <c r="AA30" s="92"/>
      <c r="AB30" s="92"/>
      <c r="AC30" s="92"/>
      <c r="AD30" s="92"/>
    </row>
    <row r="31" spans="1:50" ht="12" customHeight="1">
      <c r="A31" s="93" t="s">
        <v>209</v>
      </c>
      <c r="B31" s="586">
        <v>8</v>
      </c>
      <c r="C31" s="586">
        <v>13</v>
      </c>
      <c r="D31" s="108">
        <v>7</v>
      </c>
      <c r="E31" s="108">
        <v>11</v>
      </c>
      <c r="F31" s="244">
        <v>2</v>
      </c>
      <c r="G31" s="244">
        <v>7</v>
      </c>
      <c r="H31" s="244">
        <v>6</v>
      </c>
      <c r="I31" s="244">
        <v>6</v>
      </c>
      <c r="J31" s="244">
        <v>9</v>
      </c>
      <c r="K31" s="244">
        <v>11</v>
      </c>
      <c r="L31" s="103">
        <v>8</v>
      </c>
      <c r="M31" s="103">
        <v>11</v>
      </c>
      <c r="N31" s="94"/>
      <c r="O31" s="94"/>
      <c r="P31" s="94"/>
      <c r="Q31" s="256"/>
      <c r="R31" s="94"/>
      <c r="S31" s="94"/>
      <c r="T31" s="94"/>
      <c r="U31" s="94"/>
      <c r="V31" s="94"/>
      <c r="W31" s="92"/>
      <c r="X31" s="92"/>
      <c r="Y31" s="92"/>
      <c r="Z31" s="92"/>
      <c r="AA31" s="92"/>
      <c r="AB31" s="92"/>
      <c r="AC31" s="92"/>
      <c r="AD31" s="92"/>
    </row>
    <row r="32" spans="1:50" ht="12" customHeight="1">
      <c r="A32" s="96" t="s">
        <v>210</v>
      </c>
      <c r="B32" s="587">
        <v>3</v>
      </c>
      <c r="C32" s="587">
        <v>10</v>
      </c>
      <c r="D32" s="110">
        <v>1</v>
      </c>
      <c r="E32" s="110">
        <v>9</v>
      </c>
      <c r="F32" s="245">
        <v>1</v>
      </c>
      <c r="G32" s="245">
        <v>7</v>
      </c>
      <c r="H32" s="245">
        <v>3</v>
      </c>
      <c r="I32" s="245">
        <v>6</v>
      </c>
      <c r="J32" s="245">
        <v>4</v>
      </c>
      <c r="K32" s="245">
        <v>10</v>
      </c>
      <c r="L32" s="97">
        <v>2</v>
      </c>
      <c r="M32" s="97">
        <v>10</v>
      </c>
      <c r="N32" s="94"/>
      <c r="O32" s="94"/>
      <c r="P32" s="94"/>
      <c r="Q32" s="256"/>
      <c r="R32" s="94"/>
      <c r="S32" s="94"/>
      <c r="T32" s="94"/>
      <c r="U32" s="94"/>
      <c r="V32" s="94"/>
      <c r="W32" s="92"/>
      <c r="X32" s="92"/>
      <c r="Y32" s="92"/>
      <c r="Z32" s="92"/>
      <c r="AA32" s="92"/>
      <c r="AB32" s="92"/>
      <c r="AC32" s="92"/>
      <c r="AD32" s="92"/>
    </row>
    <row r="33" spans="1:42" ht="12" customHeight="1">
      <c r="A33" s="93" t="s">
        <v>211</v>
      </c>
      <c r="B33" s="587">
        <v>4</v>
      </c>
      <c r="C33" s="587">
        <v>2</v>
      </c>
      <c r="D33" s="110">
        <v>6</v>
      </c>
      <c r="E33" s="110">
        <v>1</v>
      </c>
      <c r="F33" s="245">
        <v>1</v>
      </c>
      <c r="G33" s="245">
        <v>0</v>
      </c>
      <c r="H33" s="245">
        <v>3</v>
      </c>
      <c r="I33" s="245">
        <v>0</v>
      </c>
      <c r="J33" s="245">
        <v>3</v>
      </c>
      <c r="K33" s="245">
        <v>0</v>
      </c>
      <c r="L33" s="97">
        <v>5</v>
      </c>
      <c r="M33" s="97">
        <v>0</v>
      </c>
      <c r="N33" s="94"/>
      <c r="O33" s="94"/>
      <c r="P33" s="94"/>
      <c r="Q33" s="94"/>
      <c r="R33" s="94"/>
      <c r="S33" s="94"/>
      <c r="T33" s="94"/>
      <c r="U33" s="94"/>
      <c r="V33" s="94"/>
      <c r="W33" s="92"/>
      <c r="X33" s="92"/>
      <c r="Y33" s="92"/>
      <c r="Z33" s="92"/>
      <c r="AA33" s="92"/>
      <c r="AB33" s="92"/>
      <c r="AC33" s="92"/>
      <c r="AD33" s="92"/>
    </row>
    <row r="34" spans="1:42" ht="12" customHeight="1">
      <c r="A34" s="104" t="s">
        <v>212</v>
      </c>
      <c r="B34" s="220">
        <f>(B33+B32)/B31</f>
        <v>0.875</v>
      </c>
      <c r="C34" s="220">
        <f>(C33+C32)/C31</f>
        <v>0.92307692307692313</v>
      </c>
      <c r="D34" s="220">
        <v>1</v>
      </c>
      <c r="E34" s="220">
        <v>0.90900000000000003</v>
      </c>
      <c r="F34" s="220">
        <v>1</v>
      </c>
      <c r="G34" s="220">
        <v>1</v>
      </c>
      <c r="H34" s="220">
        <v>1</v>
      </c>
      <c r="I34" s="220">
        <v>1</v>
      </c>
      <c r="J34" s="220">
        <v>0.77800000000000002</v>
      </c>
      <c r="K34" s="220">
        <v>0.90900000000000003</v>
      </c>
      <c r="L34" s="220">
        <v>0.875</v>
      </c>
      <c r="M34" s="220">
        <v>0.90900000000000003</v>
      </c>
      <c r="N34" s="94"/>
      <c r="O34" s="94"/>
      <c r="P34" s="94"/>
      <c r="Q34" s="94"/>
      <c r="R34" s="94"/>
      <c r="S34" s="94"/>
      <c r="T34" s="94"/>
      <c r="U34" s="94"/>
      <c r="V34" s="94"/>
      <c r="W34" s="92"/>
      <c r="X34" s="92"/>
      <c r="Y34" s="92"/>
      <c r="Z34" s="92"/>
      <c r="AA34" s="92"/>
      <c r="AB34" s="92"/>
      <c r="AC34" s="92"/>
      <c r="AD34" s="92"/>
    </row>
    <row r="35" spans="1:42" ht="12" customHeight="1">
      <c r="A35" s="105"/>
      <c r="B35" s="608"/>
      <c r="C35" s="105"/>
      <c r="D35" s="105"/>
      <c r="E35" s="105"/>
      <c r="F35" s="68"/>
      <c r="G35" s="68"/>
      <c r="H35" s="68"/>
      <c r="I35" s="68"/>
      <c r="J35" s="68"/>
      <c r="K35" s="68"/>
      <c r="L35" s="68"/>
      <c r="M35" s="68"/>
      <c r="N35" s="68"/>
      <c r="O35" s="94"/>
      <c r="P35" s="68"/>
      <c r="Q35" s="92"/>
      <c r="R35" s="92"/>
      <c r="S35" s="92"/>
      <c r="T35" s="92"/>
      <c r="U35" s="92"/>
      <c r="V35" s="92"/>
      <c r="W35" s="92"/>
      <c r="X35" s="92"/>
    </row>
    <row r="36" spans="1:42" ht="12" customHeight="1">
      <c r="A36" s="181" t="s">
        <v>213</v>
      </c>
      <c r="B36" s="182">
        <v>2025</v>
      </c>
      <c r="C36" s="591">
        <v>2024</v>
      </c>
      <c r="D36" s="182">
        <v>2023</v>
      </c>
      <c r="E36" s="182">
        <v>2022</v>
      </c>
      <c r="F36" s="182">
        <v>2021</v>
      </c>
      <c r="G36" s="182">
        <v>2020</v>
      </c>
      <c r="H36" s="92"/>
      <c r="I36" s="94"/>
      <c r="J36" s="94"/>
      <c r="K36" s="94"/>
      <c r="L36" s="94"/>
      <c r="M36" s="94"/>
      <c r="N36" s="94"/>
      <c r="O36" s="94"/>
      <c r="P36" s="94"/>
      <c r="Q36" s="94"/>
      <c r="R36" s="94"/>
      <c r="S36" s="94"/>
      <c r="T36" s="94"/>
      <c r="U36" s="94"/>
      <c r="V36" s="94"/>
      <c r="W36" s="92"/>
      <c r="X36" s="92"/>
      <c r="Y36" s="92"/>
      <c r="Z36" s="92"/>
    </row>
    <row r="37" spans="1:42" ht="12" customHeight="1">
      <c r="A37" s="93" t="s">
        <v>214</v>
      </c>
      <c r="B37" s="620">
        <f>10558/B6</f>
        <v>21.995833333333334</v>
      </c>
      <c r="C37" s="590">
        <f>15397.37/F6</f>
        <v>31.616776180698153</v>
      </c>
      <c r="D37" s="590">
        <f>14737/J6</f>
        <v>30.385567010309277</v>
      </c>
      <c r="E37" s="103">
        <v>20.89</v>
      </c>
      <c r="F37" s="103">
        <v>21.28</v>
      </c>
      <c r="G37" s="103">
        <v>27.87</v>
      </c>
      <c r="H37" s="92"/>
      <c r="I37" s="94"/>
      <c r="J37" s="94"/>
      <c r="K37" s="94"/>
      <c r="L37" s="94"/>
      <c r="M37" s="94"/>
      <c r="N37" s="94"/>
      <c r="O37" s="94"/>
      <c r="P37" s="94"/>
      <c r="Q37" s="94"/>
      <c r="R37" s="94"/>
      <c r="S37" s="94"/>
      <c r="T37" s="94"/>
      <c r="U37" s="94"/>
      <c r="V37" s="94"/>
      <c r="W37" s="92"/>
      <c r="X37" s="92"/>
      <c r="Y37" s="92"/>
      <c r="Z37" s="92"/>
    </row>
    <row r="38" spans="1:42" ht="12" customHeight="1">
      <c r="A38" s="291" t="s">
        <v>215</v>
      </c>
      <c r="B38" s="621">
        <f>179008/(SUM(B7:B10))</f>
        <v>135.71493555724032</v>
      </c>
      <c r="C38" s="575">
        <f>198848/(F7+F8+F9+F10)</f>
        <v>135.82513661202185</v>
      </c>
      <c r="D38" s="575">
        <f>192363/(J7+J8+J9+J10)</f>
        <v>138.09260588657574</v>
      </c>
      <c r="E38" s="575">
        <f>67000/(N7+N8+N9+N10)</f>
        <v>52.099533437013996</v>
      </c>
      <c r="F38" s="571" t="s">
        <v>33</v>
      </c>
      <c r="G38" s="571" t="s">
        <v>33</v>
      </c>
      <c r="H38" s="92"/>
      <c r="I38" s="94"/>
      <c r="J38" s="94"/>
      <c r="K38" s="94"/>
      <c r="L38" s="94"/>
      <c r="M38" s="94"/>
      <c r="N38" s="94"/>
      <c r="O38" s="94"/>
      <c r="P38" s="94"/>
      <c r="Q38" s="94"/>
      <c r="R38" s="94"/>
      <c r="S38" s="94"/>
      <c r="T38" s="94"/>
      <c r="U38" s="94"/>
      <c r="V38" s="94"/>
      <c r="W38" s="92"/>
      <c r="X38" s="92"/>
      <c r="Y38" s="92"/>
      <c r="Z38" s="92"/>
    </row>
    <row r="39" spans="1:42" ht="12" customHeight="1" thickBot="1">
      <c r="A39" s="576" t="s">
        <v>216</v>
      </c>
      <c r="B39" s="622">
        <f>(10558+179008)/B11</f>
        <v>105.37298499166204</v>
      </c>
      <c r="C39" s="577">
        <f>(15397.37+192363)/F11</f>
        <v>106.48916965658637</v>
      </c>
      <c r="D39" s="578">
        <f>(14737+192363)/J11</f>
        <v>110.27689030883919</v>
      </c>
      <c r="E39" s="578">
        <f>(8982+67000)/N11</f>
        <v>43.793659942363114</v>
      </c>
      <c r="F39" s="623" t="s">
        <v>33</v>
      </c>
      <c r="G39" s="623" t="s">
        <v>33</v>
      </c>
      <c r="H39" s="92"/>
      <c r="I39" s="94"/>
      <c r="J39" s="624"/>
      <c r="K39" s="624"/>
      <c r="L39" s="625"/>
      <c r="M39" s="625"/>
      <c r="N39" s="94"/>
      <c r="O39" s="94"/>
      <c r="P39" s="94"/>
      <c r="Q39" s="94"/>
      <c r="R39" s="94"/>
      <c r="S39" s="94"/>
      <c r="T39" s="94"/>
      <c r="U39" s="94"/>
      <c r="V39" s="94"/>
      <c r="W39" s="92"/>
      <c r="X39" s="92"/>
      <c r="Y39" s="92"/>
      <c r="Z39" s="92"/>
    </row>
    <row r="40" spans="1:42" ht="12" customHeight="1">
      <c r="A40" s="93"/>
      <c r="B40" s="586"/>
      <c r="C40" s="94"/>
      <c r="D40" s="561"/>
      <c r="E40" s="561"/>
      <c r="F40" s="92"/>
      <c r="G40" s="94"/>
      <c r="H40" s="94"/>
      <c r="I40" s="94"/>
      <c r="J40" s="94"/>
      <c r="K40" s="94"/>
      <c r="L40" s="94"/>
      <c r="M40" s="94"/>
      <c r="N40" s="94"/>
      <c r="O40" s="94"/>
      <c r="P40" s="94"/>
      <c r="Q40" s="94"/>
      <c r="R40" s="94"/>
      <c r="S40" s="94"/>
      <c r="T40" s="94"/>
      <c r="U40" s="92"/>
      <c r="V40" s="92"/>
      <c r="W40" s="92"/>
      <c r="X40" s="92"/>
    </row>
    <row r="41" spans="1:42" ht="12" customHeight="1">
      <c r="A41" s="180"/>
      <c r="B41" s="636">
        <v>2025</v>
      </c>
      <c r="C41" s="636"/>
      <c r="D41" s="636"/>
      <c r="E41" s="636"/>
      <c r="F41" s="636"/>
      <c r="G41" s="636">
        <v>2024</v>
      </c>
      <c r="H41" s="636"/>
      <c r="I41" s="636"/>
      <c r="J41" s="636"/>
      <c r="K41" s="636"/>
      <c r="L41" s="636">
        <v>2023</v>
      </c>
      <c r="M41" s="636"/>
      <c r="N41" s="636"/>
      <c r="O41" s="636"/>
      <c r="P41" s="636"/>
      <c r="Q41" s="636">
        <v>2022</v>
      </c>
      <c r="R41" s="636"/>
      <c r="S41" s="636"/>
      <c r="T41" s="636"/>
      <c r="U41" s="636"/>
      <c r="V41" s="636">
        <v>2021</v>
      </c>
      <c r="W41" s="636"/>
      <c r="X41" s="636"/>
      <c r="Y41" s="636"/>
      <c r="Z41" s="636"/>
      <c r="AA41" s="636">
        <v>2020</v>
      </c>
      <c r="AB41" s="636"/>
      <c r="AC41" s="636"/>
      <c r="AD41" s="636"/>
      <c r="AE41" s="636"/>
      <c r="AF41" s="636">
        <v>2019</v>
      </c>
      <c r="AG41" s="636"/>
      <c r="AH41" s="636"/>
      <c r="AI41" s="636"/>
      <c r="AJ41" s="636"/>
      <c r="AK41" s="636">
        <v>2018</v>
      </c>
      <c r="AL41" s="636"/>
      <c r="AM41" s="636"/>
      <c r="AN41" s="636"/>
      <c r="AO41" s="636"/>
      <c r="AP41" s="92"/>
    </row>
    <row r="42" spans="1:42" ht="12" customHeight="1">
      <c r="A42" s="181" t="s">
        <v>217</v>
      </c>
      <c r="B42" s="636" t="s">
        <v>192</v>
      </c>
      <c r="C42" s="636"/>
      <c r="D42" s="636" t="s">
        <v>193</v>
      </c>
      <c r="E42" s="636"/>
      <c r="F42" s="636"/>
      <c r="G42" s="636" t="s">
        <v>192</v>
      </c>
      <c r="H42" s="636"/>
      <c r="I42" s="636" t="s">
        <v>193</v>
      </c>
      <c r="J42" s="636"/>
      <c r="K42" s="636"/>
      <c r="L42" s="636" t="s">
        <v>192</v>
      </c>
      <c r="M42" s="636"/>
      <c r="N42" s="636" t="s">
        <v>193</v>
      </c>
      <c r="O42" s="636"/>
      <c r="P42" s="636"/>
      <c r="Q42" s="636" t="s">
        <v>192</v>
      </c>
      <c r="R42" s="636"/>
      <c r="S42" s="636" t="s">
        <v>193</v>
      </c>
      <c r="T42" s="636"/>
      <c r="U42" s="636"/>
      <c r="V42" s="636" t="s">
        <v>192</v>
      </c>
      <c r="W42" s="636"/>
      <c r="X42" s="636" t="s">
        <v>193</v>
      </c>
      <c r="Y42" s="636"/>
      <c r="Z42" s="636"/>
      <c r="AA42" s="636" t="s">
        <v>192</v>
      </c>
      <c r="AB42" s="636"/>
      <c r="AC42" s="636" t="s">
        <v>193</v>
      </c>
      <c r="AD42" s="636"/>
      <c r="AE42" s="636"/>
      <c r="AF42" s="636" t="s">
        <v>192</v>
      </c>
      <c r="AG42" s="636"/>
      <c r="AH42" s="636" t="s">
        <v>193</v>
      </c>
      <c r="AI42" s="636"/>
      <c r="AJ42" s="636"/>
      <c r="AK42" s="636" t="s">
        <v>192</v>
      </c>
      <c r="AL42" s="636"/>
      <c r="AM42" s="636" t="s">
        <v>193</v>
      </c>
      <c r="AN42" s="636"/>
      <c r="AO42" s="636"/>
      <c r="AP42" s="92"/>
    </row>
    <row r="43" spans="1:42" ht="22.5" customHeight="1">
      <c r="A43" s="180"/>
      <c r="B43" s="182" t="s">
        <v>194</v>
      </c>
      <c r="C43" s="182" t="s">
        <v>195</v>
      </c>
      <c r="D43" s="182" t="s">
        <v>196</v>
      </c>
      <c r="E43" s="182" t="s">
        <v>197</v>
      </c>
      <c r="F43" s="182" t="s">
        <v>198</v>
      </c>
      <c r="G43" s="182" t="s">
        <v>194</v>
      </c>
      <c r="H43" s="182" t="s">
        <v>195</v>
      </c>
      <c r="I43" s="182" t="s">
        <v>196</v>
      </c>
      <c r="J43" s="182" t="s">
        <v>197</v>
      </c>
      <c r="K43" s="182" t="s">
        <v>198</v>
      </c>
      <c r="L43" s="182" t="s">
        <v>194</v>
      </c>
      <c r="M43" s="182" t="s">
        <v>195</v>
      </c>
      <c r="N43" s="182" t="s">
        <v>196</v>
      </c>
      <c r="O43" s="182" t="s">
        <v>197</v>
      </c>
      <c r="P43" s="182" t="s">
        <v>198</v>
      </c>
      <c r="Q43" s="182" t="s">
        <v>194</v>
      </c>
      <c r="R43" s="182" t="s">
        <v>195</v>
      </c>
      <c r="S43" s="182" t="s">
        <v>196</v>
      </c>
      <c r="T43" s="182" t="s">
        <v>197</v>
      </c>
      <c r="U43" s="182" t="s">
        <v>198</v>
      </c>
      <c r="V43" s="182" t="s">
        <v>194</v>
      </c>
      <c r="W43" s="182" t="s">
        <v>195</v>
      </c>
      <c r="X43" s="182" t="s">
        <v>196</v>
      </c>
      <c r="Y43" s="182" t="s">
        <v>197</v>
      </c>
      <c r="Z43" s="182" t="s">
        <v>198</v>
      </c>
      <c r="AA43" s="182" t="s">
        <v>194</v>
      </c>
      <c r="AB43" s="182" t="s">
        <v>195</v>
      </c>
      <c r="AC43" s="182" t="s">
        <v>196</v>
      </c>
      <c r="AD43" s="182" t="s">
        <v>197</v>
      </c>
      <c r="AE43" s="182" t="s">
        <v>198</v>
      </c>
      <c r="AF43" s="182" t="s">
        <v>194</v>
      </c>
      <c r="AG43" s="182" t="s">
        <v>195</v>
      </c>
      <c r="AH43" s="182" t="s">
        <v>196</v>
      </c>
      <c r="AI43" s="182" t="s">
        <v>197</v>
      </c>
      <c r="AJ43" s="182" t="s">
        <v>198</v>
      </c>
      <c r="AK43" s="182" t="s">
        <v>194</v>
      </c>
      <c r="AL43" s="180" t="s">
        <v>195</v>
      </c>
      <c r="AM43" s="180" t="s">
        <v>196</v>
      </c>
      <c r="AN43" s="180" t="s">
        <v>197</v>
      </c>
      <c r="AO43" s="180" t="s">
        <v>198</v>
      </c>
      <c r="AP43" s="92"/>
    </row>
    <row r="44" spans="1:42" ht="12" customHeight="1">
      <c r="A44" s="107" t="s">
        <v>218</v>
      </c>
      <c r="B44" s="610"/>
      <c r="C44" s="107"/>
      <c r="D44" s="107"/>
      <c r="E44" s="107"/>
      <c r="F44" s="107"/>
      <c r="G44" s="107"/>
      <c r="H44" s="107"/>
      <c r="I44" s="107"/>
      <c r="J44" s="107"/>
      <c r="K44" s="107"/>
      <c r="L44" s="103"/>
      <c r="M44" s="103"/>
      <c r="N44" s="103"/>
      <c r="O44" s="103"/>
      <c r="P44" s="103"/>
      <c r="Q44" s="103"/>
      <c r="R44" s="103"/>
      <c r="S44" s="103"/>
      <c r="T44" s="103"/>
      <c r="U44" s="103"/>
      <c r="V44" s="103"/>
      <c r="W44" s="103"/>
      <c r="X44" s="103"/>
      <c r="Y44" s="103"/>
      <c r="Z44" s="103"/>
      <c r="AA44" s="94"/>
      <c r="AB44" s="94"/>
      <c r="AC44" s="94"/>
      <c r="AD44" s="94"/>
      <c r="AE44" s="94"/>
      <c r="AF44" s="94"/>
      <c r="AG44" s="94"/>
      <c r="AH44" s="94"/>
      <c r="AI44" s="94"/>
      <c r="AJ44" s="94"/>
      <c r="AK44" s="94"/>
      <c r="AL44" s="108"/>
      <c r="AM44" s="94"/>
      <c r="AN44" s="94"/>
      <c r="AO44" s="94"/>
      <c r="AP44" s="92"/>
    </row>
    <row r="45" spans="1:42" ht="12" customHeight="1">
      <c r="A45" s="96" t="s">
        <v>219</v>
      </c>
      <c r="B45" s="587">
        <v>33</v>
      </c>
      <c r="C45" s="96">
        <v>79</v>
      </c>
      <c r="D45" s="96">
        <v>2</v>
      </c>
      <c r="E45" s="96">
        <v>80</v>
      </c>
      <c r="F45" s="96">
        <v>30</v>
      </c>
      <c r="G45" s="110">
        <v>34</v>
      </c>
      <c r="H45" s="110">
        <v>75</v>
      </c>
      <c r="I45" s="110">
        <v>3</v>
      </c>
      <c r="J45" s="110">
        <v>78</v>
      </c>
      <c r="K45" s="110">
        <v>28</v>
      </c>
      <c r="L45" s="110">
        <v>29</v>
      </c>
      <c r="M45" s="110">
        <v>73</v>
      </c>
      <c r="N45" s="398">
        <v>1</v>
      </c>
      <c r="O45" s="245">
        <v>78</v>
      </c>
      <c r="P45" s="245">
        <v>23</v>
      </c>
      <c r="Q45" s="97">
        <v>29</v>
      </c>
      <c r="R45" s="97">
        <v>68</v>
      </c>
      <c r="S45" s="245">
        <v>1</v>
      </c>
      <c r="T45" s="245">
        <v>75</v>
      </c>
      <c r="U45" s="245">
        <v>21</v>
      </c>
      <c r="V45" s="97">
        <v>22</v>
      </c>
      <c r="W45" s="97">
        <v>56</v>
      </c>
      <c r="X45" s="245">
        <v>1</v>
      </c>
      <c r="Y45" s="245">
        <v>55</v>
      </c>
      <c r="Z45" s="245">
        <v>22</v>
      </c>
      <c r="AA45" s="97">
        <v>23</v>
      </c>
      <c r="AB45" s="97">
        <v>69</v>
      </c>
      <c r="AC45" s="97">
        <v>3</v>
      </c>
      <c r="AD45" s="97">
        <v>65</v>
      </c>
      <c r="AE45" s="97">
        <v>24</v>
      </c>
      <c r="AF45" s="97" t="s">
        <v>33</v>
      </c>
      <c r="AG45" s="97" t="s">
        <v>33</v>
      </c>
      <c r="AH45" s="97" t="s">
        <v>33</v>
      </c>
      <c r="AI45" s="97" t="s">
        <v>33</v>
      </c>
      <c r="AJ45" s="97" t="s">
        <v>33</v>
      </c>
      <c r="AK45" s="97" t="s">
        <v>33</v>
      </c>
      <c r="AL45" s="97" t="s">
        <v>33</v>
      </c>
      <c r="AM45" s="97" t="s">
        <v>33</v>
      </c>
      <c r="AN45" s="97" t="s">
        <v>33</v>
      </c>
      <c r="AO45" s="97" t="s">
        <v>33</v>
      </c>
      <c r="AP45" s="92"/>
    </row>
    <row r="46" spans="1:42" ht="12" customHeight="1">
      <c r="A46" s="93" t="s">
        <v>220</v>
      </c>
      <c r="B46" s="215">
        <f>B45/($B$45+$C$45)</f>
        <v>0.29464285714285715</v>
      </c>
      <c r="C46" s="215">
        <f t="shared" ref="C46:F46" si="12">C45/($B$45+$C$45)</f>
        <v>0.7053571428571429</v>
      </c>
      <c r="D46" s="215">
        <f>D45/($B$45+$C$45)</f>
        <v>1.7857142857142856E-2</v>
      </c>
      <c r="E46" s="215">
        <f t="shared" si="12"/>
        <v>0.7142857142857143</v>
      </c>
      <c r="F46" s="215">
        <f t="shared" si="12"/>
        <v>0.26785714285714285</v>
      </c>
      <c r="G46" s="215">
        <f>G45/($G$45+$H$45)</f>
        <v>0.31192660550458717</v>
      </c>
      <c r="H46" s="215">
        <f>H45/($G45+$H$45)</f>
        <v>0.68807339449541283</v>
      </c>
      <c r="I46" s="215">
        <f>I45/($I$45+$J$45+$K$45)</f>
        <v>2.7522935779816515E-2</v>
      </c>
      <c r="J46" s="215">
        <f>J45/($I$45+$J$45+$K$45)</f>
        <v>0.7155963302752294</v>
      </c>
      <c r="K46" s="215">
        <f>K45/($I$45+$J$45+$K$45)</f>
        <v>0.25688073394495414</v>
      </c>
      <c r="L46" s="215">
        <f>L45/($L$45+$M$45)</f>
        <v>0.28431372549019607</v>
      </c>
      <c r="M46" s="215">
        <f>M45/($L$45+$M$45)</f>
        <v>0.71568627450980393</v>
      </c>
      <c r="N46" s="215">
        <f>N45/($N$45+$O$45+$P$45)</f>
        <v>9.8039215686274508E-3</v>
      </c>
      <c r="O46" s="215">
        <f>O45/($N$45+$O$45+$P$45)</f>
        <v>0.76470588235294112</v>
      </c>
      <c r="P46" s="215">
        <f>P45/($N$45+$O$45+$P$45)</f>
        <v>0.22549019607843138</v>
      </c>
      <c r="Q46" s="215">
        <f>Q45/($Q$45+$R$45)</f>
        <v>0.29896907216494845</v>
      </c>
      <c r="R46" s="215">
        <f>R45/($Q$45+$R$45)</f>
        <v>0.7010309278350515</v>
      </c>
      <c r="S46" s="215">
        <f>S45/($S$45+$T$45+$U$45)</f>
        <v>1.0309278350515464E-2</v>
      </c>
      <c r="T46" s="215">
        <f>T45/($S$45+$T$45+$U$45)</f>
        <v>0.77319587628865982</v>
      </c>
      <c r="U46" s="215">
        <f>U45/($S$45+$T$45+$U$45)</f>
        <v>0.21649484536082475</v>
      </c>
      <c r="V46" s="215">
        <v>0.28199999999999997</v>
      </c>
      <c r="W46" s="215">
        <v>0.71799999999999997</v>
      </c>
      <c r="X46" s="215">
        <v>1.2999999999999999E-2</v>
      </c>
      <c r="Y46" s="215">
        <v>0.70499999999999996</v>
      </c>
      <c r="Z46" s="215">
        <v>0.28199999999999997</v>
      </c>
      <c r="AA46" s="216">
        <v>0.25</v>
      </c>
      <c r="AB46" s="216">
        <v>0.75</v>
      </c>
      <c r="AC46" s="216">
        <v>3.3000000000000002E-2</v>
      </c>
      <c r="AD46" s="216">
        <v>0.70699999999999996</v>
      </c>
      <c r="AE46" s="216">
        <v>0.26100000000000001</v>
      </c>
      <c r="AF46" s="94">
        <v>26</v>
      </c>
      <c r="AG46" s="94" t="s">
        <v>33</v>
      </c>
      <c r="AH46" s="94" t="s">
        <v>33</v>
      </c>
      <c r="AI46" s="94" t="s">
        <v>33</v>
      </c>
      <c r="AJ46" s="94" t="s">
        <v>33</v>
      </c>
      <c r="AK46" s="94">
        <v>29</v>
      </c>
      <c r="AL46" s="94" t="s">
        <v>33</v>
      </c>
      <c r="AM46" s="94" t="s">
        <v>33</v>
      </c>
      <c r="AN46" s="94" t="s">
        <v>33</v>
      </c>
      <c r="AO46" s="94" t="s">
        <v>33</v>
      </c>
      <c r="AP46" s="92"/>
    </row>
    <row r="47" spans="1:42" ht="12" customHeight="1">
      <c r="A47" s="96" t="s">
        <v>221</v>
      </c>
      <c r="B47" s="215">
        <f>B48/($B$6)</f>
        <v>0.18333333333333332</v>
      </c>
      <c r="C47" s="215">
        <f>C48/($B$6)</f>
        <v>0.81666666666666665</v>
      </c>
      <c r="D47" s="215">
        <f t="shared" ref="D47:F47" si="13">D48/($B$6)</f>
        <v>0.11041666666666666</v>
      </c>
      <c r="E47" s="215">
        <f t="shared" si="13"/>
        <v>0.55000000000000004</v>
      </c>
      <c r="F47" s="215">
        <f t="shared" si="13"/>
        <v>0.33958333333333335</v>
      </c>
      <c r="G47" s="215">
        <f>G48/($F$6)</f>
        <v>0.18891170431211499</v>
      </c>
      <c r="H47" s="215">
        <f>H48/($F$6)</f>
        <v>0.81108829568788499</v>
      </c>
      <c r="I47" s="215">
        <f>I48/($F$6)</f>
        <v>0.11088295687885011</v>
      </c>
      <c r="J47" s="215">
        <f>J48/($F$6)</f>
        <v>0.56878850102669409</v>
      </c>
      <c r="K47" s="215">
        <f>K48/($F$6)</f>
        <v>0.32032854209445583</v>
      </c>
      <c r="L47" s="215">
        <f>L48/($J$6)</f>
        <v>0.18350515463917524</v>
      </c>
      <c r="M47" s="215">
        <f>M48/($J$6)</f>
        <v>0.81649484536082473</v>
      </c>
      <c r="N47" s="215">
        <f>N48/($J$6)</f>
        <v>7.628865979381444E-2</v>
      </c>
      <c r="O47" s="215">
        <f>O48/($J$6)</f>
        <v>0.58556701030927838</v>
      </c>
      <c r="P47" s="215">
        <f>P48/($J$6)</f>
        <v>0.33814432989690724</v>
      </c>
      <c r="Q47" s="215">
        <f>Q48/($N$6)</f>
        <v>0.19821826280623608</v>
      </c>
      <c r="R47" s="215">
        <f>R48/($N$6)</f>
        <v>0.80178173719376389</v>
      </c>
      <c r="S47" s="215">
        <f>S48/($N$6)</f>
        <v>6.6815144766147E-2</v>
      </c>
      <c r="T47" s="215">
        <f>T48/($N$6)</f>
        <v>0.56347438752783963</v>
      </c>
      <c r="U47" s="215">
        <f>U48/($N$6)</f>
        <v>0.36971046770601335</v>
      </c>
      <c r="V47" s="215">
        <v>0.192</v>
      </c>
      <c r="W47" s="215">
        <v>0.80800000000000005</v>
      </c>
      <c r="X47" s="215">
        <v>4.5999999999999999E-2</v>
      </c>
      <c r="Y47" s="215">
        <v>0.54900000000000004</v>
      </c>
      <c r="Z47" s="215">
        <v>0.40500000000000003</v>
      </c>
      <c r="AA47" s="215">
        <v>0.20300000000000001</v>
      </c>
      <c r="AB47" s="215">
        <v>0.79700000000000004</v>
      </c>
      <c r="AC47" s="215">
        <v>7.1999999999999995E-2</v>
      </c>
      <c r="AD47" s="215">
        <v>0.55100000000000005</v>
      </c>
      <c r="AE47" s="215">
        <v>0.377</v>
      </c>
      <c r="AF47" s="97" t="s">
        <v>33</v>
      </c>
      <c r="AG47" s="97" t="s">
        <v>33</v>
      </c>
      <c r="AH47" s="97" t="s">
        <v>33</v>
      </c>
      <c r="AI47" s="97" t="s">
        <v>33</v>
      </c>
      <c r="AJ47" s="97" t="s">
        <v>33</v>
      </c>
      <c r="AK47" s="97" t="s">
        <v>33</v>
      </c>
      <c r="AL47" s="97" t="s">
        <v>33</v>
      </c>
      <c r="AM47" s="97" t="s">
        <v>33</v>
      </c>
      <c r="AN47" s="97" t="s">
        <v>33</v>
      </c>
      <c r="AO47" s="97" t="s">
        <v>33</v>
      </c>
      <c r="AP47" s="92"/>
    </row>
    <row r="48" spans="1:42" ht="12" customHeight="1">
      <c r="A48" s="93" t="s">
        <v>222</v>
      </c>
      <c r="B48" s="586">
        <v>88</v>
      </c>
      <c r="C48" s="93">
        <v>392</v>
      </c>
      <c r="D48" s="93">
        <v>53</v>
      </c>
      <c r="E48" s="93">
        <v>264</v>
      </c>
      <c r="F48" s="93">
        <v>163</v>
      </c>
      <c r="G48" s="108">
        <v>92</v>
      </c>
      <c r="H48" s="108">
        <v>395</v>
      </c>
      <c r="I48" s="108">
        <v>54</v>
      </c>
      <c r="J48" s="108">
        <v>277</v>
      </c>
      <c r="K48" s="108">
        <v>156</v>
      </c>
      <c r="L48" s="97">
        <v>89</v>
      </c>
      <c r="M48" s="97">
        <v>396</v>
      </c>
      <c r="N48" s="97">
        <v>37</v>
      </c>
      <c r="O48" s="97">
        <v>284</v>
      </c>
      <c r="P48" s="97">
        <v>164</v>
      </c>
      <c r="Q48" s="97">
        <v>89</v>
      </c>
      <c r="R48" s="97">
        <v>360</v>
      </c>
      <c r="S48" s="97">
        <v>30</v>
      </c>
      <c r="T48" s="97">
        <v>253</v>
      </c>
      <c r="U48" s="97">
        <v>166</v>
      </c>
      <c r="V48" s="97">
        <v>75</v>
      </c>
      <c r="W48" s="97">
        <v>315</v>
      </c>
      <c r="X48" s="97">
        <v>18</v>
      </c>
      <c r="Y48" s="97">
        <v>214</v>
      </c>
      <c r="Z48" s="97">
        <v>158</v>
      </c>
      <c r="AA48" s="94">
        <v>90</v>
      </c>
      <c r="AB48" s="94">
        <v>353</v>
      </c>
      <c r="AC48" s="94">
        <v>32</v>
      </c>
      <c r="AD48" s="94">
        <v>244</v>
      </c>
      <c r="AE48" s="94">
        <v>167</v>
      </c>
      <c r="AF48" s="94" t="s">
        <v>33</v>
      </c>
      <c r="AG48" s="94" t="s">
        <v>33</v>
      </c>
      <c r="AH48" s="94" t="s">
        <v>33</v>
      </c>
      <c r="AI48" s="94" t="s">
        <v>33</v>
      </c>
      <c r="AJ48" s="94" t="s">
        <v>33</v>
      </c>
      <c r="AK48" s="94" t="s">
        <v>33</v>
      </c>
      <c r="AL48" s="94" t="s">
        <v>33</v>
      </c>
      <c r="AM48" s="94" t="s">
        <v>33</v>
      </c>
      <c r="AN48" s="94" t="s">
        <v>33</v>
      </c>
      <c r="AO48" s="94" t="s">
        <v>33</v>
      </c>
      <c r="AP48" s="92"/>
    </row>
    <row r="49" spans="1:42" ht="12" customHeight="1">
      <c r="A49" s="109" t="s">
        <v>223</v>
      </c>
      <c r="B49" s="611"/>
      <c r="C49" s="109"/>
      <c r="D49" s="109"/>
      <c r="E49" s="109"/>
      <c r="F49" s="109"/>
      <c r="G49" s="109"/>
      <c r="H49" s="109"/>
      <c r="I49" s="109"/>
      <c r="J49" s="109"/>
      <c r="K49" s="109"/>
      <c r="L49" s="97"/>
      <c r="M49" s="97"/>
      <c r="N49" s="97"/>
      <c r="O49" s="97"/>
      <c r="P49" s="97"/>
      <c r="Q49" s="97"/>
      <c r="R49" s="97"/>
      <c r="S49" s="97"/>
      <c r="T49" s="97"/>
      <c r="U49" s="97"/>
      <c r="V49" s="97"/>
      <c r="W49" s="97"/>
      <c r="X49" s="97"/>
      <c r="Y49" s="97"/>
      <c r="Z49" s="97"/>
      <c r="AA49" s="97"/>
      <c r="AB49" s="97"/>
      <c r="AC49" s="97"/>
      <c r="AD49" s="97"/>
      <c r="AE49" s="97"/>
      <c r="AF49" s="97"/>
      <c r="AG49" s="97"/>
      <c r="AH49" s="97"/>
      <c r="AI49" s="97"/>
      <c r="AJ49" s="97"/>
      <c r="AK49" s="97"/>
      <c r="AL49" s="110"/>
      <c r="AM49" s="97"/>
      <c r="AN49" s="97"/>
      <c r="AO49" s="97"/>
      <c r="AP49" s="92"/>
    </row>
    <row r="50" spans="1:42" ht="12" customHeight="1">
      <c r="A50" s="96" t="s">
        <v>224</v>
      </c>
      <c r="B50" s="587">
        <v>5</v>
      </c>
      <c r="C50" s="96">
        <v>54</v>
      </c>
      <c r="D50" s="96">
        <v>0</v>
      </c>
      <c r="E50" s="96">
        <v>27</v>
      </c>
      <c r="F50" s="96">
        <v>32</v>
      </c>
      <c r="G50" s="110">
        <v>4</v>
      </c>
      <c r="H50" s="110">
        <v>64</v>
      </c>
      <c r="I50" s="110">
        <v>0</v>
      </c>
      <c r="J50" s="110">
        <v>29</v>
      </c>
      <c r="K50" s="110">
        <v>39</v>
      </c>
      <c r="L50" s="97">
        <v>5</v>
      </c>
      <c r="M50" s="97">
        <v>68</v>
      </c>
      <c r="N50" s="97">
        <v>0</v>
      </c>
      <c r="O50" s="97">
        <v>32</v>
      </c>
      <c r="P50" s="97">
        <v>41</v>
      </c>
      <c r="Q50" s="97">
        <v>4</v>
      </c>
      <c r="R50" s="97">
        <v>62</v>
      </c>
      <c r="S50" s="97">
        <v>0</v>
      </c>
      <c r="T50" s="97">
        <v>30</v>
      </c>
      <c r="U50" s="97">
        <v>36</v>
      </c>
      <c r="V50" s="97">
        <v>6</v>
      </c>
      <c r="W50" s="97">
        <v>61</v>
      </c>
      <c r="X50" s="97">
        <v>0</v>
      </c>
      <c r="Y50" s="97">
        <v>33</v>
      </c>
      <c r="Z50" s="97">
        <v>34</v>
      </c>
      <c r="AA50" s="94">
        <v>7</v>
      </c>
      <c r="AB50" s="94">
        <v>58</v>
      </c>
      <c r="AC50" s="94">
        <v>0</v>
      </c>
      <c r="AD50" s="94">
        <v>31</v>
      </c>
      <c r="AE50" s="94">
        <v>34</v>
      </c>
      <c r="AF50" s="94" t="s">
        <v>33</v>
      </c>
      <c r="AG50" s="94" t="s">
        <v>33</v>
      </c>
      <c r="AH50" s="94" t="s">
        <v>33</v>
      </c>
      <c r="AI50" s="94" t="s">
        <v>33</v>
      </c>
      <c r="AJ50" s="94" t="s">
        <v>33</v>
      </c>
      <c r="AK50" s="94" t="s">
        <v>33</v>
      </c>
      <c r="AL50" s="94" t="s">
        <v>33</v>
      </c>
      <c r="AM50" s="94" t="s">
        <v>33</v>
      </c>
      <c r="AN50" s="94" t="s">
        <v>33</v>
      </c>
      <c r="AO50" s="94" t="s">
        <v>33</v>
      </c>
      <c r="AP50" s="92"/>
    </row>
    <row r="51" spans="1:42" ht="12" customHeight="1">
      <c r="A51" s="93" t="s">
        <v>225</v>
      </c>
      <c r="B51" s="215">
        <f>B50/($B$50+$C$50)</f>
        <v>8.4745762711864403E-2</v>
      </c>
      <c r="C51" s="215">
        <f t="shared" ref="C51:F51" si="14">C50/($B$50+$C$50)</f>
        <v>0.9152542372881356</v>
      </c>
      <c r="D51" s="215">
        <f t="shared" si="14"/>
        <v>0</v>
      </c>
      <c r="E51" s="215">
        <f t="shared" si="14"/>
        <v>0.4576271186440678</v>
      </c>
      <c r="F51" s="215">
        <f t="shared" si="14"/>
        <v>0.5423728813559322</v>
      </c>
      <c r="G51" s="553">
        <f>G50/($G$50+$H$50)</f>
        <v>5.8823529411764705E-2</v>
      </c>
      <c r="H51" s="553">
        <f>H50/($G$50+$H$50)</f>
        <v>0.94117647058823528</v>
      </c>
      <c r="I51" s="553">
        <f>I50/($I$45+$J$45+$K$45)</f>
        <v>0</v>
      </c>
      <c r="J51" s="553">
        <f>J50/($I$45+$J$45+$K$45)</f>
        <v>0.26605504587155965</v>
      </c>
      <c r="K51" s="553">
        <f>K50/($I$45+$J$45+$K$45)</f>
        <v>0.3577981651376147</v>
      </c>
      <c r="L51" s="215">
        <f>L50/($L$50+$M$50)</f>
        <v>6.8493150684931503E-2</v>
      </c>
      <c r="M51" s="215">
        <f>M50/($L$50+$M$50)</f>
        <v>0.93150684931506844</v>
      </c>
      <c r="N51" s="215">
        <f>N50/($N$50+$O$50+$P$50)</f>
        <v>0</v>
      </c>
      <c r="O51" s="215">
        <f>O50/($N$50+$O$50+$P$50)</f>
        <v>0.43835616438356162</v>
      </c>
      <c r="P51" s="215">
        <f>P50/($N$50+$O$50+$P$50)</f>
        <v>0.56164383561643838</v>
      </c>
      <c r="Q51" s="215">
        <f>Q50/($Q$50+$R$50)</f>
        <v>6.0606060606060608E-2</v>
      </c>
      <c r="R51" s="215">
        <f>R50/($Q$50+$R$50)</f>
        <v>0.93939393939393945</v>
      </c>
      <c r="S51" s="215">
        <f>S50/($Q$50+$R$50)</f>
        <v>0</v>
      </c>
      <c r="T51" s="215">
        <f>T50/($S$50+$T$50+$U$50)</f>
        <v>0.45454545454545453</v>
      </c>
      <c r="U51" s="215">
        <f>U50/(S$50+$T$50+$U$50)</f>
        <v>0.54545454545454541</v>
      </c>
      <c r="V51" s="215">
        <v>0.09</v>
      </c>
      <c r="W51" s="215">
        <v>0.91</v>
      </c>
      <c r="X51" s="215">
        <v>0</v>
      </c>
      <c r="Y51" s="215">
        <v>0.49299999999999999</v>
      </c>
      <c r="Z51" s="215">
        <v>0.50700000000000001</v>
      </c>
      <c r="AA51" s="215">
        <v>0.108</v>
      </c>
      <c r="AB51" s="215">
        <v>0.89200000000000002</v>
      </c>
      <c r="AC51" s="215">
        <v>0</v>
      </c>
      <c r="AD51" s="215">
        <v>0.47699999999999998</v>
      </c>
      <c r="AE51" s="215">
        <v>0.52300000000000002</v>
      </c>
      <c r="AF51" s="97" t="s">
        <v>33</v>
      </c>
      <c r="AG51" s="97" t="s">
        <v>33</v>
      </c>
      <c r="AH51" s="97" t="s">
        <v>33</v>
      </c>
      <c r="AI51" s="97" t="s">
        <v>33</v>
      </c>
      <c r="AJ51" s="97" t="s">
        <v>33</v>
      </c>
      <c r="AK51" s="97">
        <v>10</v>
      </c>
      <c r="AL51" s="97" t="s">
        <v>33</v>
      </c>
      <c r="AM51" s="97" t="s">
        <v>33</v>
      </c>
      <c r="AN51" s="97" t="s">
        <v>33</v>
      </c>
      <c r="AO51" s="97" t="s">
        <v>33</v>
      </c>
      <c r="AP51" s="92"/>
    </row>
    <row r="52" spans="1:42" ht="12" customHeight="1">
      <c r="A52" s="96" t="s">
        <v>221</v>
      </c>
      <c r="B52" s="215">
        <f>B53/($B$7+$B$8+$B$9+$B$10)</f>
        <v>2.0470053070507959E-2</v>
      </c>
      <c r="C52" s="215">
        <f t="shared" ref="C52:F52" si="15">C53/($B$7+$B$8+$B$9+$B$10)</f>
        <v>0.97952994692949202</v>
      </c>
      <c r="D52" s="215">
        <f t="shared" si="15"/>
        <v>0.17589082638362397</v>
      </c>
      <c r="E52" s="215">
        <f t="shared" si="15"/>
        <v>0.54738438210765727</v>
      </c>
      <c r="F52" s="215">
        <f t="shared" si="15"/>
        <v>0.2767247915087187</v>
      </c>
      <c r="G52" s="554">
        <f>G53/($F$7+$F$8+$F$9+$F$10)</f>
        <v>1.7759562841530054E-2</v>
      </c>
      <c r="H52" s="554">
        <f>H53/($F$7+$F$8+$F$9+$F$10)</f>
        <v>0.98224043715846998</v>
      </c>
      <c r="I52" s="554">
        <f>I53/($F$7+$F$8+$F$9+$F$10)</f>
        <v>0.1796448087431694</v>
      </c>
      <c r="J52" s="554">
        <f>J53/($F$7+$F$8+$F$9+$F$10)</f>
        <v>0.55122950819672134</v>
      </c>
      <c r="K52" s="554">
        <f>K53/($F$7+$F$8+$F$9+$F$10)</f>
        <v>0.26912568306010931</v>
      </c>
      <c r="L52" s="215">
        <f>L53/($J$7+$J$8+$J$9+$J$10)</f>
        <v>2.0818377602297201E-2</v>
      </c>
      <c r="M52" s="215">
        <f>M53/($J$7+$J$8+$J$9+$J$10)</f>
        <v>0.97918162239770279</v>
      </c>
      <c r="N52" s="215">
        <f>N53/($J$7+$J$8+$J$9+$J$10)</f>
        <v>0.15865039483129936</v>
      </c>
      <c r="O52" s="215">
        <f>O53/($J$7+$J$8+$J$9+$J$10)</f>
        <v>0.56424982053122752</v>
      </c>
      <c r="P52" s="215">
        <f>P53/($J$7+$J$8+$J$9+$J$10)</f>
        <v>0.27709978463747309</v>
      </c>
      <c r="Q52" s="215">
        <f>Q53/($N$7+$N$8+$N$9+$N$10)</f>
        <v>2.3328149300155521E-2</v>
      </c>
      <c r="R52" s="215">
        <f>R53/($N$7+$N$8+$N$9+$N$10)</f>
        <v>0.97667185069984452</v>
      </c>
      <c r="S52" s="215">
        <f>S53/($N$7+$N$8+$N$9+$N$10)</f>
        <v>0.13141524105754276</v>
      </c>
      <c r="T52" s="215">
        <f>T53/($N$7+$N$8+$N$9+$N$10)</f>
        <v>0.59720062208398139</v>
      </c>
      <c r="U52" s="215">
        <f>U53/($N$7+$N$8+$N$9+$N$10)</f>
        <v>0.2713841368584759</v>
      </c>
      <c r="V52" s="215">
        <v>2.4E-2</v>
      </c>
      <c r="W52" s="218">
        <v>0.97599999999999998</v>
      </c>
      <c r="X52" s="218">
        <v>0.10199999999999999</v>
      </c>
      <c r="Y52" s="218">
        <v>0.63100000000000001</v>
      </c>
      <c r="Z52" s="218">
        <v>0.26700000000000002</v>
      </c>
      <c r="AA52" s="216">
        <v>2.9000000000000001E-2</v>
      </c>
      <c r="AB52" s="217">
        <v>0.97099999999999997</v>
      </c>
      <c r="AC52" s="217">
        <v>8.5000000000000006E-2</v>
      </c>
      <c r="AD52" s="217">
        <v>0.61899999999999999</v>
      </c>
      <c r="AE52" s="217">
        <v>0.29599999999999999</v>
      </c>
      <c r="AF52" s="94" t="s">
        <v>33</v>
      </c>
      <c r="AG52" s="94" t="s">
        <v>33</v>
      </c>
      <c r="AH52" s="94" t="s">
        <v>33</v>
      </c>
      <c r="AI52" s="94" t="s">
        <v>33</v>
      </c>
      <c r="AJ52" s="94" t="s">
        <v>33</v>
      </c>
      <c r="AK52" s="94" t="s">
        <v>33</v>
      </c>
      <c r="AL52" s="94" t="s">
        <v>33</v>
      </c>
      <c r="AM52" s="94" t="s">
        <v>33</v>
      </c>
      <c r="AN52" s="94" t="s">
        <v>33</v>
      </c>
      <c r="AO52" s="94" t="s">
        <v>33</v>
      </c>
      <c r="AP52" s="92"/>
    </row>
    <row r="53" spans="1:42" ht="12" customHeight="1">
      <c r="A53" s="96" t="s">
        <v>222</v>
      </c>
      <c r="B53" s="587">
        <v>27</v>
      </c>
      <c r="C53" s="96">
        <v>1292</v>
      </c>
      <c r="D53" s="96">
        <v>232</v>
      </c>
      <c r="E53" s="96">
        <v>722</v>
      </c>
      <c r="F53" s="96">
        <v>365</v>
      </c>
      <c r="G53" s="110">
        <v>26</v>
      </c>
      <c r="H53" s="110">
        <v>1438</v>
      </c>
      <c r="I53" s="110">
        <v>263</v>
      </c>
      <c r="J53" s="110">
        <v>807</v>
      </c>
      <c r="K53" s="110">
        <v>394</v>
      </c>
      <c r="L53" s="97">
        <v>29</v>
      </c>
      <c r="M53" s="111">
        <v>1364</v>
      </c>
      <c r="N53" s="97">
        <v>221</v>
      </c>
      <c r="O53" s="97">
        <v>786</v>
      </c>
      <c r="P53" s="97">
        <v>386</v>
      </c>
      <c r="Q53" s="97">
        <v>30</v>
      </c>
      <c r="R53" s="111">
        <v>1256</v>
      </c>
      <c r="S53" s="97">
        <v>169</v>
      </c>
      <c r="T53" s="97">
        <v>768</v>
      </c>
      <c r="U53" s="97">
        <v>349</v>
      </c>
      <c r="V53" s="97">
        <v>29</v>
      </c>
      <c r="W53" s="111">
        <v>1158</v>
      </c>
      <c r="X53" s="97">
        <v>121</v>
      </c>
      <c r="Y53" s="97">
        <v>749</v>
      </c>
      <c r="Z53" s="97">
        <v>317</v>
      </c>
      <c r="AA53" s="97">
        <v>30</v>
      </c>
      <c r="AB53" s="111">
        <v>1019</v>
      </c>
      <c r="AC53" s="97">
        <v>89</v>
      </c>
      <c r="AD53" s="97">
        <v>649</v>
      </c>
      <c r="AE53" s="97">
        <v>311</v>
      </c>
      <c r="AF53" s="97" t="s">
        <v>33</v>
      </c>
      <c r="AG53" s="97" t="s">
        <v>33</v>
      </c>
      <c r="AH53" s="97" t="s">
        <v>33</v>
      </c>
      <c r="AI53" s="97" t="s">
        <v>33</v>
      </c>
      <c r="AJ53" s="97" t="s">
        <v>33</v>
      </c>
      <c r="AK53" s="97" t="s">
        <v>33</v>
      </c>
      <c r="AL53" s="97" t="s">
        <v>33</v>
      </c>
      <c r="AM53" s="97" t="s">
        <v>33</v>
      </c>
      <c r="AN53" s="97" t="s">
        <v>33</v>
      </c>
      <c r="AO53" s="97" t="s">
        <v>33</v>
      </c>
      <c r="AP53" s="92"/>
    </row>
    <row r="54" spans="1:42" ht="12" customHeight="1">
      <c r="A54" s="107" t="s">
        <v>226</v>
      </c>
      <c r="B54" s="629"/>
      <c r="C54" s="107"/>
      <c r="D54" s="107"/>
      <c r="E54" s="107"/>
      <c r="F54" s="107"/>
      <c r="G54" s="630"/>
      <c r="H54" s="107"/>
      <c r="I54" s="107"/>
      <c r="J54" s="107"/>
      <c r="K54" s="107"/>
      <c r="L54" s="97"/>
      <c r="M54" s="111"/>
      <c r="N54" s="97"/>
      <c r="O54" s="97"/>
      <c r="P54" s="97"/>
      <c r="Q54" s="97"/>
      <c r="R54" s="111"/>
      <c r="S54" s="97"/>
      <c r="T54" s="97"/>
      <c r="U54" s="97"/>
      <c r="V54" s="97"/>
      <c r="W54" s="97"/>
      <c r="X54" s="97"/>
      <c r="Y54" s="97"/>
      <c r="Z54" s="97"/>
      <c r="AA54" s="94"/>
      <c r="AB54" s="94"/>
      <c r="AC54" s="94"/>
      <c r="AD54" s="94"/>
      <c r="AE54" s="94"/>
      <c r="AF54" s="94"/>
      <c r="AG54" s="94"/>
      <c r="AH54" s="94"/>
      <c r="AI54" s="94"/>
      <c r="AJ54" s="94"/>
      <c r="AK54" s="94"/>
      <c r="AL54" s="108"/>
      <c r="AM54" s="94"/>
      <c r="AN54" s="94"/>
      <c r="AO54" s="94"/>
      <c r="AP54" s="92"/>
    </row>
    <row r="55" spans="1:42" ht="12" customHeight="1">
      <c r="A55" s="291" t="s">
        <v>227</v>
      </c>
      <c r="B55" s="609">
        <v>3</v>
      </c>
      <c r="C55" s="291">
        <v>4</v>
      </c>
      <c r="D55" s="291">
        <v>0</v>
      </c>
      <c r="E55" s="291">
        <v>0</v>
      </c>
      <c r="F55" s="291">
        <v>7</v>
      </c>
      <c r="G55" s="97">
        <v>3</v>
      </c>
      <c r="H55" s="97">
        <v>5</v>
      </c>
      <c r="I55" s="97">
        <v>0</v>
      </c>
      <c r="J55" s="97">
        <v>0</v>
      </c>
      <c r="K55" s="97">
        <v>8</v>
      </c>
      <c r="L55" s="97">
        <v>3</v>
      </c>
      <c r="M55" s="97">
        <v>5</v>
      </c>
      <c r="N55" s="97">
        <v>0</v>
      </c>
      <c r="O55" s="97">
        <v>0</v>
      </c>
      <c r="P55" s="97">
        <v>8</v>
      </c>
      <c r="Q55" s="97">
        <v>1</v>
      </c>
      <c r="R55" s="97">
        <v>5</v>
      </c>
      <c r="S55" s="97">
        <v>0</v>
      </c>
      <c r="T55" s="97">
        <v>0</v>
      </c>
      <c r="U55" s="97">
        <v>6</v>
      </c>
      <c r="V55" s="97">
        <v>1</v>
      </c>
      <c r="W55" s="97">
        <v>5</v>
      </c>
      <c r="X55" s="97">
        <v>0</v>
      </c>
      <c r="Y55" s="97">
        <v>1</v>
      </c>
      <c r="Z55" s="97">
        <v>5</v>
      </c>
      <c r="AA55" s="97">
        <v>1</v>
      </c>
      <c r="AB55" s="97">
        <v>6</v>
      </c>
      <c r="AC55" s="97">
        <v>0</v>
      </c>
      <c r="AD55" s="97">
        <v>1</v>
      </c>
      <c r="AE55" s="97">
        <v>6</v>
      </c>
      <c r="AF55" s="97" t="s">
        <v>33</v>
      </c>
      <c r="AG55" s="97" t="s">
        <v>33</v>
      </c>
      <c r="AH55" s="97" t="s">
        <v>33</v>
      </c>
      <c r="AI55" s="97" t="s">
        <v>33</v>
      </c>
      <c r="AJ55" s="97" t="s">
        <v>33</v>
      </c>
      <c r="AK55" s="97" t="s">
        <v>33</v>
      </c>
      <c r="AL55" s="97" t="s">
        <v>33</v>
      </c>
      <c r="AM55" s="97" t="s">
        <v>33</v>
      </c>
      <c r="AN55" s="97" t="s">
        <v>33</v>
      </c>
      <c r="AO55" s="97" t="s">
        <v>33</v>
      </c>
      <c r="AP55" s="92"/>
    </row>
    <row r="56" spans="1:42" ht="12" customHeight="1">
      <c r="A56" s="291" t="s">
        <v>228</v>
      </c>
      <c r="B56" s="215">
        <f>B55/($B$55+$C$55)</f>
        <v>0.42857142857142855</v>
      </c>
      <c r="C56" s="215">
        <f t="shared" ref="C56:F56" si="16">C55/($B$55+$C$55)</f>
        <v>0.5714285714285714</v>
      </c>
      <c r="D56" s="215">
        <f t="shared" si="16"/>
        <v>0</v>
      </c>
      <c r="E56" s="215">
        <f t="shared" si="16"/>
        <v>0</v>
      </c>
      <c r="F56" s="215">
        <f t="shared" si="16"/>
        <v>1</v>
      </c>
      <c r="G56" s="572">
        <f>G55/($G$55+$H$55)</f>
        <v>0.375</v>
      </c>
      <c r="H56" s="572">
        <f>H55/($G$55+$H$55)</f>
        <v>0.625</v>
      </c>
      <c r="I56" s="572">
        <f>I55/($I$55+$J$55+$K$55)</f>
        <v>0</v>
      </c>
      <c r="J56" s="572">
        <f>J55/($I$55+$J$55+$K$55)</f>
        <v>0</v>
      </c>
      <c r="K56" s="572">
        <f>K55/($I$55+$J$55+$K$55)</f>
        <v>1</v>
      </c>
      <c r="L56" s="215">
        <f>L55/($L$55+$M$55)</f>
        <v>0.375</v>
      </c>
      <c r="M56" s="215">
        <f>M55/($L$55+$M$55)</f>
        <v>0.625</v>
      </c>
      <c r="N56" s="215">
        <f>N55/($N$55+$O$55+$P$55)</f>
        <v>0</v>
      </c>
      <c r="O56" s="215">
        <f>O55/($N$45+$O$45+$P$45)</f>
        <v>0</v>
      </c>
      <c r="P56" s="215">
        <f>$P55/(N$55+$O$55+$P$55)</f>
        <v>1</v>
      </c>
      <c r="Q56" s="215">
        <f>Q55/($Q$55+$R$55)</f>
        <v>0.16666666666666666</v>
      </c>
      <c r="R56" s="215">
        <f>R55/($Q$55+$R$55)</f>
        <v>0.83333333333333337</v>
      </c>
      <c r="S56" s="215">
        <f>S55/(S$55+$T$55+$U$55)</f>
        <v>0</v>
      </c>
      <c r="T56" s="215">
        <f t="shared" ref="T56" si="17">T55/(T$55+$T$55+$U$55)</f>
        <v>0</v>
      </c>
      <c r="U56" s="215">
        <f>U55/($S$55+$T$55+$U$55)</f>
        <v>1</v>
      </c>
      <c r="V56" s="215">
        <v>0.16700000000000001</v>
      </c>
      <c r="W56" s="215">
        <v>0.83299999999999996</v>
      </c>
      <c r="X56" s="215">
        <v>0</v>
      </c>
      <c r="Y56" s="215">
        <v>0.16700000000000001</v>
      </c>
      <c r="Z56" s="215">
        <v>0.83299999999999996</v>
      </c>
      <c r="AA56" s="216">
        <v>0.14299999999999999</v>
      </c>
      <c r="AB56" s="216">
        <v>0.85699999999999998</v>
      </c>
      <c r="AC56" s="216">
        <v>0</v>
      </c>
      <c r="AD56" s="216">
        <v>0.14299999999999999</v>
      </c>
      <c r="AE56" s="216">
        <v>0.85699999999999998</v>
      </c>
      <c r="AF56" s="94" t="s">
        <v>33</v>
      </c>
      <c r="AG56" s="94" t="s">
        <v>33</v>
      </c>
      <c r="AH56" s="94" t="s">
        <v>33</v>
      </c>
      <c r="AI56" s="94" t="s">
        <v>33</v>
      </c>
      <c r="AJ56" s="94" t="s">
        <v>33</v>
      </c>
      <c r="AK56" s="94" t="s">
        <v>33</v>
      </c>
      <c r="AL56" s="94" t="s">
        <v>33</v>
      </c>
      <c r="AM56" s="94" t="s">
        <v>33</v>
      </c>
      <c r="AN56" s="94" t="s">
        <v>33</v>
      </c>
      <c r="AO56" s="94" t="s">
        <v>33</v>
      </c>
      <c r="AP56" s="92"/>
    </row>
    <row r="57" spans="1:42" ht="12" customHeight="1">
      <c r="A57" s="96" t="s">
        <v>229</v>
      </c>
      <c r="B57" s="587">
        <v>1</v>
      </c>
      <c r="C57" s="96">
        <v>5</v>
      </c>
      <c r="D57" s="96">
        <v>0</v>
      </c>
      <c r="E57" s="96">
        <v>0</v>
      </c>
      <c r="F57" s="96">
        <v>6</v>
      </c>
      <c r="G57" s="110">
        <v>1</v>
      </c>
      <c r="H57" s="110">
        <v>4</v>
      </c>
      <c r="I57" s="110">
        <v>0</v>
      </c>
      <c r="J57" s="110">
        <v>0</v>
      </c>
      <c r="K57" s="110">
        <v>5</v>
      </c>
      <c r="L57" s="97">
        <v>1</v>
      </c>
      <c r="M57" s="97">
        <v>4</v>
      </c>
      <c r="N57" s="97">
        <v>0</v>
      </c>
      <c r="O57" s="97">
        <v>0</v>
      </c>
      <c r="P57" s="97">
        <v>5</v>
      </c>
      <c r="Q57" s="383" t="s">
        <v>33</v>
      </c>
      <c r="R57" s="383" t="s">
        <v>33</v>
      </c>
      <c r="S57" s="383" t="s">
        <v>33</v>
      </c>
      <c r="T57" s="383" t="s">
        <v>33</v>
      </c>
      <c r="U57" s="383" t="s">
        <v>33</v>
      </c>
      <c r="V57" s="383" t="s">
        <v>33</v>
      </c>
      <c r="W57" s="383" t="s">
        <v>33</v>
      </c>
      <c r="X57" s="383" t="s">
        <v>33</v>
      </c>
      <c r="Y57" s="383" t="s">
        <v>33</v>
      </c>
      <c r="Z57" s="383" t="s">
        <v>33</v>
      </c>
      <c r="AA57" s="383" t="s">
        <v>33</v>
      </c>
      <c r="AB57" s="383" t="s">
        <v>33</v>
      </c>
      <c r="AC57" s="383" t="s">
        <v>33</v>
      </c>
      <c r="AD57" s="383" t="s">
        <v>33</v>
      </c>
      <c r="AE57" s="383" t="s">
        <v>33</v>
      </c>
      <c r="AF57" s="97" t="s">
        <v>33</v>
      </c>
      <c r="AG57" s="97" t="s">
        <v>33</v>
      </c>
      <c r="AH57" s="97" t="s">
        <v>33</v>
      </c>
      <c r="AI57" s="97" t="s">
        <v>33</v>
      </c>
      <c r="AJ57" s="97" t="s">
        <v>33</v>
      </c>
      <c r="AK57" s="97" t="s">
        <v>33</v>
      </c>
      <c r="AL57" s="97" t="s">
        <v>33</v>
      </c>
      <c r="AM57" s="97" t="s">
        <v>33</v>
      </c>
      <c r="AN57" s="97" t="s">
        <v>33</v>
      </c>
      <c r="AO57" s="97" t="s">
        <v>33</v>
      </c>
      <c r="AP57" s="92"/>
    </row>
    <row r="58" spans="1:42" ht="12" customHeight="1">
      <c r="A58" s="93" t="s">
        <v>230</v>
      </c>
      <c r="B58" s="215">
        <f>B57/($B$57+$C$57)</f>
        <v>0.16666666666666666</v>
      </c>
      <c r="C58" s="215">
        <f t="shared" ref="C58:F58" si="18">C57/($B$57+$C$57)</f>
        <v>0.83333333333333337</v>
      </c>
      <c r="D58" s="215">
        <f t="shared" si="18"/>
        <v>0</v>
      </c>
      <c r="E58" s="215">
        <f t="shared" si="18"/>
        <v>0</v>
      </c>
      <c r="F58" s="215">
        <f t="shared" si="18"/>
        <v>1</v>
      </c>
      <c r="G58" s="596">
        <f>G57/($G$57+$H$57)</f>
        <v>0.2</v>
      </c>
      <c r="H58" s="596">
        <f>H57/($G$57+$H$57)</f>
        <v>0.8</v>
      </c>
      <c r="I58" s="596">
        <f>I57/($I$57+$J$57+$K$57)</f>
        <v>0</v>
      </c>
      <c r="J58" s="596">
        <f>J57/($I$57+$J$57+$K$57)</f>
        <v>0</v>
      </c>
      <c r="K58" s="596">
        <f>K57/($I$57+$J$57+$K$57)</f>
        <v>1</v>
      </c>
      <c r="L58" s="215">
        <f>L57/($L$57+$M$57)</f>
        <v>0.2</v>
      </c>
      <c r="M58" s="215">
        <f>M57/($L$57+$M$57)</f>
        <v>0.8</v>
      </c>
      <c r="N58" s="215">
        <f>N57/($N$57+$O$57+$P$57)</f>
        <v>0</v>
      </c>
      <c r="O58" s="215">
        <f>O57/($N$57+$O$57+$P$57)</f>
        <v>0</v>
      </c>
      <c r="P58" s="215">
        <f>P57/($N$57+$O$57+$P$57)</f>
        <v>1</v>
      </c>
      <c r="Q58" s="383" t="s">
        <v>33</v>
      </c>
      <c r="R58" s="383" t="s">
        <v>33</v>
      </c>
      <c r="S58" s="383" t="s">
        <v>33</v>
      </c>
      <c r="T58" s="383" t="s">
        <v>33</v>
      </c>
      <c r="U58" s="383" t="s">
        <v>33</v>
      </c>
      <c r="V58" s="383" t="s">
        <v>33</v>
      </c>
      <c r="W58" s="383" t="s">
        <v>33</v>
      </c>
      <c r="X58" s="383" t="s">
        <v>33</v>
      </c>
      <c r="Y58" s="383" t="s">
        <v>33</v>
      </c>
      <c r="Z58" s="383" t="s">
        <v>33</v>
      </c>
      <c r="AA58" s="383" t="s">
        <v>33</v>
      </c>
      <c r="AB58" s="383" t="s">
        <v>33</v>
      </c>
      <c r="AC58" s="383" t="s">
        <v>33</v>
      </c>
      <c r="AD58" s="383" t="s">
        <v>33</v>
      </c>
      <c r="AE58" s="383" t="s">
        <v>33</v>
      </c>
      <c r="AF58" s="94" t="s">
        <v>33</v>
      </c>
      <c r="AG58" s="94" t="s">
        <v>33</v>
      </c>
      <c r="AH58" s="94" t="s">
        <v>33</v>
      </c>
      <c r="AI58" s="94" t="s">
        <v>33</v>
      </c>
      <c r="AJ58" s="94" t="s">
        <v>33</v>
      </c>
      <c r="AK58" s="94" t="s">
        <v>33</v>
      </c>
      <c r="AL58" s="94" t="s">
        <v>33</v>
      </c>
      <c r="AM58" s="94" t="s">
        <v>33</v>
      </c>
      <c r="AN58" s="94" t="s">
        <v>33</v>
      </c>
      <c r="AO58" s="94" t="s">
        <v>33</v>
      </c>
      <c r="AP58" s="92"/>
    </row>
    <row r="59" spans="1:42" ht="12" customHeight="1">
      <c r="A59" s="96" t="s">
        <v>231</v>
      </c>
      <c r="B59" s="97">
        <f>B45+B50</f>
        <v>38</v>
      </c>
      <c r="C59" s="110">
        <f t="shared" ref="C59:F59" si="19">C45+C50</f>
        <v>133</v>
      </c>
      <c r="D59" s="110">
        <f t="shared" si="19"/>
        <v>2</v>
      </c>
      <c r="E59" s="110">
        <f t="shared" si="19"/>
        <v>107</v>
      </c>
      <c r="F59" s="110">
        <f t="shared" si="19"/>
        <v>62</v>
      </c>
      <c r="G59" s="110">
        <f>G45+G50</f>
        <v>38</v>
      </c>
      <c r="H59" s="110">
        <f t="shared" ref="H59:K59" si="20">H45+H50</f>
        <v>139</v>
      </c>
      <c r="I59" s="110">
        <f t="shared" si="20"/>
        <v>3</v>
      </c>
      <c r="J59" s="110">
        <f t="shared" si="20"/>
        <v>107</v>
      </c>
      <c r="K59" s="110">
        <f t="shared" si="20"/>
        <v>67</v>
      </c>
      <c r="L59" s="97">
        <f t="shared" ref="L59:U59" si="21">L45+L50</f>
        <v>34</v>
      </c>
      <c r="M59" s="97">
        <f t="shared" si="21"/>
        <v>141</v>
      </c>
      <c r="N59" s="97">
        <f>N45+N50</f>
        <v>1</v>
      </c>
      <c r="O59" s="97">
        <f t="shared" si="21"/>
        <v>110</v>
      </c>
      <c r="P59" s="97">
        <f t="shared" si="21"/>
        <v>64</v>
      </c>
      <c r="Q59" s="97">
        <f t="shared" si="21"/>
        <v>33</v>
      </c>
      <c r="R59" s="97">
        <f t="shared" si="21"/>
        <v>130</v>
      </c>
      <c r="S59" s="97">
        <f t="shared" si="21"/>
        <v>1</v>
      </c>
      <c r="T59" s="97">
        <f t="shared" si="21"/>
        <v>105</v>
      </c>
      <c r="U59" s="97">
        <f t="shared" si="21"/>
        <v>57</v>
      </c>
      <c r="V59" s="97">
        <v>28</v>
      </c>
      <c r="W59" s="97">
        <v>117</v>
      </c>
      <c r="X59" s="97">
        <v>1</v>
      </c>
      <c r="Y59" s="97">
        <v>88</v>
      </c>
      <c r="Z59" s="97">
        <v>56</v>
      </c>
      <c r="AA59" s="97">
        <v>30</v>
      </c>
      <c r="AB59" s="97">
        <v>127</v>
      </c>
      <c r="AC59" s="97">
        <v>3</v>
      </c>
      <c r="AD59" s="97">
        <v>96</v>
      </c>
      <c r="AE59" s="97">
        <v>58</v>
      </c>
      <c r="AF59" s="97" t="s">
        <v>33</v>
      </c>
      <c r="AG59" s="97" t="s">
        <v>33</v>
      </c>
      <c r="AH59" s="97">
        <v>3</v>
      </c>
      <c r="AI59" s="97">
        <v>95</v>
      </c>
      <c r="AJ59" s="97">
        <v>64</v>
      </c>
      <c r="AK59" s="97" t="s">
        <v>33</v>
      </c>
      <c r="AL59" s="97" t="s">
        <v>33</v>
      </c>
      <c r="AM59" s="110">
        <v>3</v>
      </c>
      <c r="AN59" s="110">
        <v>89</v>
      </c>
      <c r="AO59" s="110">
        <v>54</v>
      </c>
      <c r="AP59" s="92"/>
    </row>
    <row r="60" spans="1:42" ht="12" customHeight="1">
      <c r="A60" s="93" t="s">
        <v>232</v>
      </c>
      <c r="B60" s="612">
        <f>B59/($B$45+$C$45+$B$50+$C$50)</f>
        <v>0.22222222222222221</v>
      </c>
      <c r="C60" s="553">
        <f>C59/($B$45+$C$45+$B$50+$C$50)</f>
        <v>0.77777777777777779</v>
      </c>
      <c r="D60" s="553">
        <f t="shared" ref="D60:F60" si="22">D59/($B$45+$C$45+$B$50+$C$50)</f>
        <v>1.1695906432748537E-2</v>
      </c>
      <c r="E60" s="553">
        <f t="shared" si="22"/>
        <v>0.6257309941520468</v>
      </c>
      <c r="F60" s="553">
        <f t="shared" si="22"/>
        <v>0.36257309941520466</v>
      </c>
      <c r="G60" s="553">
        <f>G59/(G45+H45+G50+H50)</f>
        <v>0.21468926553672316</v>
      </c>
      <c r="H60" s="553">
        <f>H59/(G45+H45+G50+H50)</f>
        <v>0.78531073446327682</v>
      </c>
      <c r="I60" s="553">
        <f>I59/($I$45+$J$45+$K$45+$I$50+$J$50+$K$50)</f>
        <v>1.6949152542372881E-2</v>
      </c>
      <c r="J60" s="553">
        <f>J59/($I$45+$J$45+$K$45+$I$50+$J$50+$K$50)</f>
        <v>0.60451977401129942</v>
      </c>
      <c r="K60" s="553">
        <f>K59/($I$45+$J$45+$K$45+$I$50+$J$50+$K$50)</f>
        <v>0.37853107344632769</v>
      </c>
      <c r="L60" s="215">
        <f>L59/(L45+M45+L50+M50)</f>
        <v>0.19428571428571428</v>
      </c>
      <c r="M60" s="215">
        <f>M59/(L45+M45+L50+M50)</f>
        <v>0.80571428571428572</v>
      </c>
      <c r="N60" s="215">
        <f>N59/($N$45+$O$45+$P$45+$N$50+$O$50+$P$50)</f>
        <v>5.7142857142857143E-3</v>
      </c>
      <c r="O60" s="215">
        <f t="shared" ref="O60:P60" si="23">O59/($N$45+$O$45+$P$45+$N$50+$O$50+$P$50)</f>
        <v>0.62857142857142856</v>
      </c>
      <c r="P60" s="215">
        <f t="shared" si="23"/>
        <v>0.36571428571428571</v>
      </c>
      <c r="Q60" s="215">
        <f>Q59/(Q45+R45+Q50+R50)</f>
        <v>0.20245398773006135</v>
      </c>
      <c r="R60" s="215">
        <f>R59/(Q45+R45+Q50+R50)</f>
        <v>0.7975460122699386</v>
      </c>
      <c r="S60" s="215">
        <f>S59/($S$45+T45+U45+S50+T50+U50)</f>
        <v>6.1349693251533744E-3</v>
      </c>
      <c r="T60" s="215">
        <f>T59/($S$45+$T$45+$U$45+$S$50+$T$50+$U$50)</f>
        <v>0.64417177914110424</v>
      </c>
      <c r="U60" s="215">
        <f>U59/($S$45+$T$45+$U$45+$S$50+$T$50+$U$50)</f>
        <v>0.34969325153374231</v>
      </c>
      <c r="V60" s="215">
        <v>0.193</v>
      </c>
      <c r="W60" s="215">
        <v>0.80700000000000005</v>
      </c>
      <c r="X60" s="215">
        <v>7.0000000000000001E-3</v>
      </c>
      <c r="Y60" s="215">
        <v>0.60699999999999998</v>
      </c>
      <c r="Z60" s="215">
        <v>0.38600000000000001</v>
      </c>
      <c r="AA60" s="216">
        <v>0.191</v>
      </c>
      <c r="AB60" s="216">
        <v>0.80900000000000005</v>
      </c>
      <c r="AC60" s="216">
        <v>1.9E-2</v>
      </c>
      <c r="AD60" s="216">
        <v>0.61099999999999999</v>
      </c>
      <c r="AE60" s="216">
        <v>0.36899999999999999</v>
      </c>
      <c r="AF60" s="94" t="s">
        <v>33</v>
      </c>
      <c r="AG60" s="94" t="s">
        <v>33</v>
      </c>
      <c r="AH60" s="94" t="s">
        <v>33</v>
      </c>
      <c r="AI60" s="94" t="s">
        <v>33</v>
      </c>
      <c r="AJ60" s="94" t="s">
        <v>33</v>
      </c>
      <c r="AK60" s="94" t="s">
        <v>33</v>
      </c>
      <c r="AL60" s="94" t="s">
        <v>33</v>
      </c>
      <c r="AM60" s="94" t="s">
        <v>33</v>
      </c>
      <c r="AN60" s="94" t="s">
        <v>33</v>
      </c>
      <c r="AO60" s="94" t="s">
        <v>33</v>
      </c>
      <c r="AP60" s="92"/>
    </row>
    <row r="61" spans="1:42" ht="12" customHeight="1">
      <c r="A61" s="96" t="s">
        <v>221</v>
      </c>
      <c r="B61" s="613">
        <f>B62/$B$11</f>
        <v>6.3924402445803219E-2</v>
      </c>
      <c r="C61" s="554">
        <f t="shared" ref="C61:F61" si="24">C62/$B$11</f>
        <v>0.93607559755419678</v>
      </c>
      <c r="D61" s="554">
        <f t="shared" si="24"/>
        <v>0.1584213451917732</v>
      </c>
      <c r="E61" s="554">
        <f t="shared" si="24"/>
        <v>0.54808226792662595</v>
      </c>
      <c r="F61" s="554">
        <f t="shared" si="24"/>
        <v>0.2934963868816009</v>
      </c>
      <c r="G61" s="554">
        <f>G62/$F$11</f>
        <v>6.0481804202972833E-2</v>
      </c>
      <c r="H61" s="554">
        <f t="shared" ref="H61:K61" si="25">H62/$F$11</f>
        <v>0.93951819579702711</v>
      </c>
      <c r="I61" s="554">
        <f t="shared" si="25"/>
        <v>0.16248077908764735</v>
      </c>
      <c r="J61" s="554">
        <f t="shared" si="25"/>
        <v>0.5556125064069708</v>
      </c>
      <c r="K61" s="554">
        <f t="shared" si="25"/>
        <v>0.28190671450538185</v>
      </c>
      <c r="L61" s="215">
        <f>L62/$J$11</f>
        <v>6.2832800851970183E-2</v>
      </c>
      <c r="M61" s="215">
        <f t="shared" ref="M61:P61" si="26">M62/$J$11</f>
        <v>0.93716719914802982</v>
      </c>
      <c r="N61" s="215">
        <f t="shared" si="26"/>
        <v>0.13738019169329074</v>
      </c>
      <c r="O61" s="215">
        <f t="shared" si="26"/>
        <v>0.56975505857294995</v>
      </c>
      <c r="P61" s="215">
        <f t="shared" si="26"/>
        <v>0.29286474973375931</v>
      </c>
      <c r="Q61" s="215">
        <f t="shared" ref="Q61:U61" si="27">Q62/$N$11</f>
        <v>6.8587896253602301E-2</v>
      </c>
      <c r="R61" s="215">
        <f t="shared" si="27"/>
        <v>0.93141210374639771</v>
      </c>
      <c r="S61" s="215">
        <f t="shared" si="27"/>
        <v>0.11469740634005764</v>
      </c>
      <c r="T61" s="215">
        <f t="shared" si="27"/>
        <v>0.58847262247838616</v>
      </c>
      <c r="U61" s="215">
        <f t="shared" si="27"/>
        <v>0.29682997118155618</v>
      </c>
      <c r="V61" s="215">
        <v>6.6000000000000003E-2</v>
      </c>
      <c r="W61" s="215">
        <v>0.93400000000000005</v>
      </c>
      <c r="X61" s="218">
        <v>8.7999999999999995E-2</v>
      </c>
      <c r="Y61" s="218">
        <v>0.61099999999999999</v>
      </c>
      <c r="Z61" s="218">
        <v>0.30099999999999999</v>
      </c>
      <c r="AA61" s="215">
        <v>0.08</v>
      </c>
      <c r="AB61" s="215">
        <v>0.92</v>
      </c>
      <c r="AC61" s="218">
        <v>8.1000000000000003E-2</v>
      </c>
      <c r="AD61" s="218">
        <v>0.59899999999999998</v>
      </c>
      <c r="AE61" s="218">
        <v>0.32</v>
      </c>
      <c r="AF61" s="97" t="s">
        <v>33</v>
      </c>
      <c r="AG61" s="97" t="s">
        <v>33</v>
      </c>
      <c r="AH61" s="97" t="s">
        <v>33</v>
      </c>
      <c r="AI61" s="97" t="s">
        <v>33</v>
      </c>
      <c r="AJ61" s="97" t="s">
        <v>33</v>
      </c>
      <c r="AK61" s="97" t="s">
        <v>33</v>
      </c>
      <c r="AL61" s="97" t="s">
        <v>33</v>
      </c>
      <c r="AM61" s="97" t="s">
        <v>33</v>
      </c>
      <c r="AN61" s="97" t="s">
        <v>33</v>
      </c>
      <c r="AO61" s="97" t="s">
        <v>33</v>
      </c>
      <c r="AP61" s="92"/>
    </row>
    <row r="62" spans="1:42" ht="12" customHeight="1">
      <c r="A62" s="104" t="s">
        <v>233</v>
      </c>
      <c r="B62" s="106">
        <f>B48+B53</f>
        <v>115</v>
      </c>
      <c r="C62" s="555">
        <f>C48+C53</f>
        <v>1684</v>
      </c>
      <c r="D62" s="555">
        <f>D48+D53</f>
        <v>285</v>
      </c>
      <c r="E62" s="555">
        <f t="shared" ref="E62:F62" si="28">E48+E53</f>
        <v>986</v>
      </c>
      <c r="F62" s="555">
        <f t="shared" si="28"/>
        <v>528</v>
      </c>
      <c r="G62" s="555">
        <f>G48+G53</f>
        <v>118</v>
      </c>
      <c r="H62" s="555">
        <f>H48+H53</f>
        <v>1833</v>
      </c>
      <c r="I62" s="555">
        <f>I48+I53</f>
        <v>317</v>
      </c>
      <c r="J62" s="555">
        <f t="shared" ref="J62:K62" si="29">J48+J53</f>
        <v>1084</v>
      </c>
      <c r="K62" s="555">
        <f t="shared" si="29"/>
        <v>550</v>
      </c>
      <c r="L62" s="106">
        <f>L48+L53</f>
        <v>118</v>
      </c>
      <c r="M62" s="395">
        <f>M48+M53</f>
        <v>1760</v>
      </c>
      <c r="N62" s="106">
        <f>N48+N53</f>
        <v>258</v>
      </c>
      <c r="O62" s="395">
        <f t="shared" ref="O62:P62" si="30">O48+O53</f>
        <v>1070</v>
      </c>
      <c r="P62" s="106">
        <f t="shared" si="30"/>
        <v>550</v>
      </c>
      <c r="Q62" s="106">
        <f>Q48+Q53</f>
        <v>119</v>
      </c>
      <c r="R62" s="395">
        <f>R48+R53</f>
        <v>1616</v>
      </c>
      <c r="S62" s="106">
        <f t="shared" ref="S62:U62" si="31">S48+S53</f>
        <v>199</v>
      </c>
      <c r="T62" s="395">
        <f t="shared" si="31"/>
        <v>1021</v>
      </c>
      <c r="U62" s="106">
        <f t="shared" si="31"/>
        <v>515</v>
      </c>
      <c r="V62" s="254">
        <f t="shared" ref="V62:AE62" si="32">V48+V53</f>
        <v>104</v>
      </c>
      <c r="W62" s="254">
        <f t="shared" si="32"/>
        <v>1473</v>
      </c>
      <c r="X62" s="254">
        <f t="shared" si="32"/>
        <v>139</v>
      </c>
      <c r="Y62" s="254">
        <f t="shared" si="32"/>
        <v>963</v>
      </c>
      <c r="Z62" s="254">
        <f t="shared" si="32"/>
        <v>475</v>
      </c>
      <c r="AA62" s="254">
        <f t="shared" si="32"/>
        <v>120</v>
      </c>
      <c r="AB62" s="254">
        <f t="shared" si="32"/>
        <v>1372</v>
      </c>
      <c r="AC62" s="254">
        <f t="shared" si="32"/>
        <v>121</v>
      </c>
      <c r="AD62" s="254">
        <f t="shared" si="32"/>
        <v>893</v>
      </c>
      <c r="AE62" s="254">
        <f t="shared" si="32"/>
        <v>478</v>
      </c>
      <c r="AF62" s="112" t="s">
        <v>33</v>
      </c>
      <c r="AG62" s="112" t="s">
        <v>33</v>
      </c>
      <c r="AH62" s="112">
        <v>201</v>
      </c>
      <c r="AI62" s="113">
        <v>1009</v>
      </c>
      <c r="AJ62" s="112">
        <v>583</v>
      </c>
      <c r="AK62" s="112" t="s">
        <v>33</v>
      </c>
      <c r="AL62" s="112" t="s">
        <v>33</v>
      </c>
      <c r="AM62" s="114">
        <v>196</v>
      </c>
      <c r="AN62" s="114">
        <v>968</v>
      </c>
      <c r="AO62" s="114">
        <v>568</v>
      </c>
      <c r="AP62" s="92"/>
    </row>
    <row r="63" spans="1:42" ht="12" customHeight="1">
      <c r="A63" s="93"/>
      <c r="B63" s="586"/>
      <c r="C63" s="93"/>
      <c r="D63" s="93"/>
      <c r="E63" s="93"/>
      <c r="F63" s="93"/>
      <c r="G63" s="94"/>
      <c r="H63" s="94"/>
      <c r="I63" s="94"/>
      <c r="J63" s="94"/>
      <c r="K63" s="94"/>
      <c r="L63" s="282"/>
      <c r="M63" s="282"/>
      <c r="N63" s="282"/>
      <c r="O63" s="282"/>
      <c r="P63" s="282"/>
      <c r="Q63" s="282"/>
      <c r="R63" s="282"/>
      <c r="S63" s="282"/>
      <c r="T63" s="282"/>
      <c r="U63" s="282"/>
      <c r="V63" s="94"/>
      <c r="W63" s="94"/>
      <c r="X63" s="94"/>
      <c r="Y63" s="95"/>
      <c r="Z63" s="94"/>
      <c r="AA63" s="94"/>
      <c r="AB63" s="94"/>
      <c r="AC63" s="108"/>
      <c r="AD63" s="108"/>
      <c r="AE63" s="108"/>
      <c r="AF63" s="92"/>
    </row>
    <row r="64" spans="1:42" ht="12" customHeight="1">
      <c r="A64" s="294" t="s">
        <v>234</v>
      </c>
      <c r="B64" s="614">
        <v>2025</v>
      </c>
      <c r="C64" s="373">
        <v>2024</v>
      </c>
      <c r="D64" s="373">
        <v>2023</v>
      </c>
      <c r="E64" s="373">
        <v>2022</v>
      </c>
      <c r="F64" s="373">
        <v>2021</v>
      </c>
      <c r="H64" s="94"/>
      <c r="I64" s="94"/>
      <c r="J64" s="282"/>
      <c r="K64" s="282"/>
      <c r="L64" s="282"/>
      <c r="M64" s="282"/>
      <c r="N64" s="282"/>
      <c r="O64" s="282"/>
      <c r="P64" s="282"/>
      <c r="Q64" s="282"/>
      <c r="R64" s="282"/>
      <c r="S64" s="282"/>
      <c r="T64" s="94"/>
      <c r="U64" s="94"/>
      <c r="V64" s="94"/>
      <c r="W64" s="95"/>
      <c r="X64" s="94"/>
      <c r="Y64" s="94"/>
      <c r="Z64" s="94"/>
      <c r="AA64" s="108"/>
      <c r="AB64" s="108"/>
      <c r="AC64" s="108"/>
      <c r="AD64" s="92"/>
    </row>
    <row r="65" spans="1:30" ht="12" customHeight="1">
      <c r="A65" s="102" t="s">
        <v>235</v>
      </c>
      <c r="B65" s="589" t="s">
        <v>236</v>
      </c>
      <c r="C65" s="574" t="s">
        <v>237</v>
      </c>
      <c r="D65" s="574" t="s">
        <v>238</v>
      </c>
      <c r="E65" s="574" t="s">
        <v>239</v>
      </c>
      <c r="F65" s="574" t="s">
        <v>240</v>
      </c>
      <c r="H65" s="94"/>
      <c r="I65" s="596"/>
      <c r="J65" s="596"/>
      <c r="K65" s="596"/>
      <c r="L65" s="385"/>
      <c r="M65" s="282"/>
      <c r="N65" s="282"/>
      <c r="O65" s="282"/>
      <c r="P65" s="282"/>
      <c r="Q65" s="282"/>
      <c r="R65" s="282"/>
      <c r="S65" s="282"/>
      <c r="T65" s="94"/>
      <c r="U65" s="94"/>
      <c r="V65" s="94"/>
      <c r="W65" s="95"/>
      <c r="X65" s="94"/>
      <c r="Y65" s="94"/>
      <c r="Z65" s="94"/>
      <c r="AA65" s="108"/>
      <c r="AB65" s="108"/>
      <c r="AC65" s="108"/>
      <c r="AD65" s="92"/>
    </row>
    <row r="66" spans="1:30" ht="12" customHeight="1">
      <c r="A66" s="93"/>
      <c r="B66" s="586"/>
      <c r="C66" s="565"/>
      <c r="D66" s="565"/>
      <c r="E66" s="565"/>
      <c r="G66" s="94"/>
      <c r="H66" s="94"/>
      <c r="I66" s="282"/>
      <c r="J66" s="282"/>
      <c r="K66" s="282"/>
      <c r="L66" s="282"/>
      <c r="M66" s="282"/>
      <c r="N66" s="282"/>
      <c r="O66" s="282"/>
      <c r="P66" s="282"/>
      <c r="Q66" s="282"/>
      <c r="R66" s="282"/>
      <c r="S66" s="94"/>
      <c r="T66" s="94"/>
      <c r="U66" s="94"/>
      <c r="V66" s="95"/>
      <c r="W66" s="94"/>
      <c r="X66" s="94"/>
      <c r="Y66" s="94"/>
      <c r="Z66" s="108"/>
      <c r="AA66" s="108"/>
      <c r="AB66" s="108"/>
      <c r="AC66" s="92"/>
    </row>
    <row r="67" spans="1:30" ht="12" customHeight="1">
      <c r="A67" s="294" t="s">
        <v>241</v>
      </c>
      <c r="B67" s="614">
        <v>2025</v>
      </c>
      <c r="C67" s="373">
        <v>2024</v>
      </c>
      <c r="D67" s="373">
        <v>2023</v>
      </c>
      <c r="E67" s="373">
        <v>2022</v>
      </c>
      <c r="F67" s="108"/>
      <c r="G67" s="94"/>
      <c r="H67" s="557"/>
      <c r="I67" s="282"/>
      <c r="J67" s="282"/>
      <c r="K67" s="282"/>
      <c r="L67" s="282"/>
      <c r="M67" s="282"/>
      <c r="N67" s="282"/>
      <c r="O67" s="282"/>
      <c r="P67" s="282"/>
      <c r="Q67" s="282"/>
      <c r="R67" s="94"/>
      <c r="S67" s="94"/>
      <c r="T67" s="94"/>
      <c r="U67" s="95"/>
      <c r="V67" s="94"/>
      <c r="W67" s="94"/>
      <c r="X67" s="94"/>
      <c r="Y67" s="108"/>
      <c r="Z67" s="108"/>
      <c r="AA67" s="108"/>
      <c r="AB67" s="92"/>
    </row>
    <row r="68" spans="1:30" ht="12" customHeight="1">
      <c r="A68" s="102" t="s">
        <v>242</v>
      </c>
      <c r="B68" s="589" t="s">
        <v>236</v>
      </c>
      <c r="C68" s="573">
        <v>0.63600000000000001</v>
      </c>
      <c r="D68" s="573">
        <f>-57.7%</f>
        <v>-0.57700000000000007</v>
      </c>
      <c r="E68" s="573">
        <v>8.3000000000000004E-2</v>
      </c>
      <c r="F68" s="108"/>
      <c r="G68" s="94"/>
      <c r="H68" s="94"/>
      <c r="I68" s="563"/>
      <c r="J68" s="563"/>
      <c r="K68" s="563"/>
      <c r="L68" s="282"/>
      <c r="M68" s="282"/>
      <c r="N68" s="282"/>
      <c r="O68" s="282"/>
      <c r="P68" s="282"/>
      <c r="Q68" s="282"/>
      <c r="R68" s="282"/>
      <c r="S68" s="94"/>
      <c r="T68" s="94"/>
      <c r="U68" s="94"/>
      <c r="V68" s="95"/>
      <c r="W68" s="94"/>
      <c r="X68" s="94"/>
      <c r="Y68" s="94"/>
      <c r="Z68" s="108"/>
      <c r="AA68" s="108"/>
      <c r="AB68" s="108"/>
      <c r="AC68" s="92"/>
    </row>
    <row r="69" spans="1:30" ht="12" customHeight="1">
      <c r="A69" s="115"/>
      <c r="B69" s="592"/>
      <c r="C69" s="558"/>
      <c r="D69" s="558"/>
      <c r="E69" s="108"/>
      <c r="F69" s="108"/>
      <c r="G69" s="94"/>
      <c r="H69" s="94"/>
      <c r="I69" s="94"/>
      <c r="J69" s="94"/>
      <c r="K69" s="94"/>
      <c r="L69" s="94"/>
      <c r="M69" s="94"/>
      <c r="N69" s="94"/>
      <c r="O69" s="94"/>
      <c r="P69" s="94"/>
      <c r="Q69" s="94"/>
      <c r="R69" s="94"/>
      <c r="S69" s="94"/>
      <c r="T69" s="92"/>
      <c r="U69" s="92"/>
      <c r="V69" s="92"/>
      <c r="W69" s="92"/>
    </row>
    <row r="70" spans="1:30" ht="12" customHeight="1">
      <c r="A70" s="400" t="s">
        <v>243</v>
      </c>
      <c r="B70" s="274">
        <v>2025</v>
      </c>
      <c r="C70" s="373">
        <v>2024</v>
      </c>
      <c r="D70" s="263">
        <v>2023</v>
      </c>
      <c r="E70" s="263">
        <v>2022</v>
      </c>
      <c r="F70" s="263">
        <v>2021</v>
      </c>
      <c r="G70" s="94"/>
      <c r="H70" s="94"/>
      <c r="I70" s="94"/>
      <c r="J70" s="94"/>
      <c r="K70" s="94"/>
      <c r="L70" s="94"/>
      <c r="M70" s="94"/>
      <c r="N70" s="94"/>
      <c r="O70" s="94"/>
      <c r="P70" s="94"/>
      <c r="Q70" s="94"/>
      <c r="R70" s="94"/>
      <c r="S70" s="94"/>
      <c r="T70" s="94"/>
      <c r="U70" s="94"/>
      <c r="V70" s="92"/>
      <c r="W70" s="92"/>
      <c r="X70" s="92"/>
      <c r="Y70" s="92"/>
    </row>
    <row r="71" spans="1:30" ht="12" customHeight="1">
      <c r="A71" s="404" t="s">
        <v>244</v>
      </c>
      <c r="B71" s="601">
        <f>17/B6</f>
        <v>3.5416666666666666E-2</v>
      </c>
      <c r="C71" s="593">
        <f>17/F6</f>
        <v>3.4907597535934289E-2</v>
      </c>
      <c r="D71" s="566">
        <f>11/J6</f>
        <v>2.268041237113402E-2</v>
      </c>
      <c r="E71" s="593">
        <f>9/N6</f>
        <v>2.0044543429844099E-2</v>
      </c>
      <c r="F71" s="566">
        <f>6/P6</f>
        <v>1.5384615384615385E-2</v>
      </c>
      <c r="G71" s="216"/>
      <c r="H71" s="216"/>
      <c r="I71" s="94"/>
      <c r="J71" s="94"/>
      <c r="K71" s="94"/>
      <c r="L71" s="94"/>
      <c r="M71" s="94"/>
      <c r="N71" s="94"/>
      <c r="O71" s="94"/>
      <c r="P71" s="94"/>
      <c r="Q71" s="94"/>
      <c r="R71" s="94"/>
      <c r="S71" s="94"/>
      <c r="T71" s="94"/>
      <c r="U71" s="94"/>
      <c r="V71" s="92"/>
      <c r="W71" s="92"/>
      <c r="X71" s="92"/>
      <c r="Y71" s="92"/>
    </row>
    <row r="72" spans="1:30" ht="12" customHeight="1">
      <c r="A72" s="115"/>
      <c r="B72" s="592"/>
      <c r="C72" s="558"/>
      <c r="D72" s="594"/>
      <c r="E72" s="108"/>
      <c r="F72" s="150"/>
      <c r="G72" s="94"/>
      <c r="H72" s="94"/>
      <c r="I72" s="94"/>
      <c r="J72" s="94"/>
      <c r="K72" s="94"/>
      <c r="L72" s="94"/>
      <c r="M72" s="94"/>
      <c r="N72" s="94"/>
      <c r="O72" s="94"/>
      <c r="P72" s="94"/>
      <c r="Q72" s="94"/>
      <c r="R72" s="94"/>
      <c r="S72" s="94"/>
      <c r="T72" s="92"/>
      <c r="U72" s="92"/>
      <c r="V72" s="92"/>
      <c r="W72" s="92"/>
    </row>
    <row r="73" spans="1:30" ht="12" customHeight="1">
      <c r="A73" s="400" t="s">
        <v>245</v>
      </c>
      <c r="B73" s="274">
        <v>2025</v>
      </c>
      <c r="C73" s="263">
        <v>2024</v>
      </c>
      <c r="D73" s="263">
        <v>2023</v>
      </c>
      <c r="E73" s="263">
        <v>2022</v>
      </c>
      <c r="F73" s="263">
        <v>2021</v>
      </c>
      <c r="G73" s="94"/>
      <c r="H73" s="94"/>
      <c r="I73" s="94"/>
      <c r="J73" s="94"/>
      <c r="K73" s="94"/>
      <c r="L73" s="94"/>
      <c r="M73" s="94"/>
      <c r="N73" s="94"/>
      <c r="O73" s="94"/>
      <c r="P73" s="94"/>
      <c r="Q73" s="94"/>
      <c r="R73" s="94"/>
      <c r="S73" s="94"/>
      <c r="T73" s="94"/>
      <c r="U73" s="94"/>
      <c r="V73" s="92"/>
      <c r="W73" s="92"/>
      <c r="X73" s="92"/>
      <c r="Y73" s="92"/>
    </row>
    <row r="74" spans="1:30" ht="12" customHeight="1">
      <c r="A74" s="401" t="s">
        <v>246</v>
      </c>
      <c r="B74" s="597">
        <f>B47</f>
        <v>0.18333333333333332</v>
      </c>
      <c r="C74" s="599">
        <f>G47</f>
        <v>0.18891170431211499</v>
      </c>
      <c r="D74" s="599">
        <f>L47</f>
        <v>0.18350515463917524</v>
      </c>
      <c r="E74" s="599">
        <f>Q47</f>
        <v>0.19821826280623608</v>
      </c>
      <c r="F74" s="599">
        <f>V47</f>
        <v>0.192</v>
      </c>
      <c r="G74" s="216"/>
      <c r="H74" s="216"/>
      <c r="I74" s="94"/>
      <c r="J74" s="94"/>
      <c r="K74" s="94"/>
      <c r="L74" s="94"/>
      <c r="M74" s="94"/>
      <c r="N74" s="94"/>
      <c r="O74" s="94"/>
      <c r="P74" s="94"/>
      <c r="Q74" s="94"/>
      <c r="R74" s="94"/>
      <c r="S74" s="94"/>
      <c r="T74" s="94"/>
      <c r="U74" s="94"/>
      <c r="V74" s="92"/>
      <c r="W74" s="92"/>
      <c r="X74" s="92"/>
      <c r="Y74" s="92"/>
    </row>
    <row r="75" spans="1:30" ht="12" customHeight="1">
      <c r="A75" s="402" t="s">
        <v>247</v>
      </c>
      <c r="B75" s="598">
        <f>B46</f>
        <v>0.29464285714285715</v>
      </c>
      <c r="C75" s="600">
        <f>G46</f>
        <v>0.31192660550458717</v>
      </c>
      <c r="D75" s="600">
        <f>L46</f>
        <v>0.28431372549019607</v>
      </c>
      <c r="E75" s="600">
        <f>Q46</f>
        <v>0.29896907216494845</v>
      </c>
      <c r="F75" s="600">
        <f>V46</f>
        <v>0.28199999999999997</v>
      </c>
      <c r="G75" s="216"/>
      <c r="H75" s="216"/>
      <c r="I75" s="94"/>
      <c r="J75" s="94"/>
      <c r="K75" s="94"/>
      <c r="L75" s="94"/>
      <c r="M75" s="94"/>
      <c r="N75" s="94"/>
      <c r="O75" s="94"/>
      <c r="P75" s="94"/>
      <c r="Q75" s="94"/>
      <c r="R75" s="94"/>
      <c r="S75" s="94"/>
      <c r="T75" s="94"/>
      <c r="U75" s="94"/>
      <c r="V75" s="92"/>
      <c r="W75" s="92"/>
      <c r="X75" s="92"/>
      <c r="Y75" s="92"/>
    </row>
    <row r="76" spans="1:30" ht="12" customHeight="1">
      <c r="A76" s="402" t="s">
        <v>248</v>
      </c>
      <c r="B76" s="598">
        <v>0.2535</v>
      </c>
      <c r="C76" s="600">
        <v>0.253</v>
      </c>
      <c r="D76" s="600">
        <v>0.27600000000000002</v>
      </c>
      <c r="E76" s="600">
        <v>0.29199999999999998</v>
      </c>
      <c r="F76" s="600">
        <v>0.24299999999999999</v>
      </c>
      <c r="G76" s="216"/>
      <c r="H76" s="216"/>
      <c r="I76" s="94"/>
      <c r="J76" s="94"/>
      <c r="K76" s="94"/>
      <c r="L76" s="94"/>
      <c r="M76" s="94"/>
      <c r="N76" s="94"/>
      <c r="O76" s="94"/>
      <c r="P76" s="94"/>
      <c r="Q76" s="94"/>
      <c r="R76" s="94"/>
      <c r="S76" s="94"/>
      <c r="T76" s="94"/>
      <c r="U76" s="94"/>
      <c r="V76" s="92"/>
      <c r="W76" s="92"/>
      <c r="X76" s="92"/>
      <c r="Y76" s="92"/>
    </row>
    <row r="77" spans="1:30" ht="12" customHeight="1">
      <c r="A77" s="115"/>
      <c r="B77" s="592"/>
      <c r="C77" s="115"/>
      <c r="D77" s="115"/>
      <c r="E77" s="94"/>
      <c r="F77" s="94"/>
      <c r="G77" s="94"/>
      <c r="H77" s="94"/>
      <c r="I77" s="94"/>
      <c r="J77" s="94"/>
      <c r="K77" s="94"/>
      <c r="L77" s="94"/>
      <c r="M77" s="94"/>
      <c r="N77" s="94"/>
      <c r="O77" s="94"/>
      <c r="P77" s="94"/>
      <c r="Q77" s="94"/>
      <c r="R77" s="94"/>
      <c r="S77" s="94"/>
      <c r="T77" s="92"/>
      <c r="U77" s="92"/>
      <c r="V77" s="92"/>
      <c r="W77" s="92"/>
    </row>
    <row r="78" spans="1:30" ht="12" customHeight="1">
      <c r="A78" s="116" t="s">
        <v>37</v>
      </c>
      <c r="B78" s="615"/>
      <c r="C78" s="116"/>
      <c r="D78" s="117"/>
      <c r="E78" s="117"/>
      <c r="F78" s="117"/>
      <c r="G78" s="117"/>
      <c r="H78" s="117"/>
      <c r="I78" s="117"/>
      <c r="J78" s="117"/>
      <c r="K78" s="117"/>
      <c r="L78" s="117"/>
      <c r="M78" s="117"/>
      <c r="N78" s="117"/>
      <c r="O78" s="117"/>
      <c r="P78" s="117"/>
      <c r="Q78" s="117"/>
      <c r="R78" s="92"/>
      <c r="S78" s="92"/>
      <c r="T78" s="92"/>
      <c r="U78" s="92"/>
      <c r="V78" s="92"/>
    </row>
    <row r="79" spans="1:30" ht="12" customHeight="1">
      <c r="A79" s="632" t="s">
        <v>249</v>
      </c>
      <c r="B79" s="632"/>
      <c r="C79" s="632"/>
      <c r="D79" s="632"/>
      <c r="E79" s="632"/>
      <c r="F79" s="632"/>
      <c r="G79" s="122"/>
      <c r="H79" s="122"/>
      <c r="I79" s="122"/>
      <c r="J79" s="122"/>
      <c r="K79" s="122"/>
      <c r="L79" s="68"/>
      <c r="M79" s="68"/>
      <c r="N79" s="68"/>
      <c r="O79" s="92"/>
      <c r="P79" s="92"/>
      <c r="Q79" s="92"/>
      <c r="R79" s="92"/>
      <c r="S79" s="92"/>
      <c r="T79" s="92"/>
      <c r="U79" s="92"/>
      <c r="V79" s="92"/>
    </row>
    <row r="80" spans="1:30" ht="12" customHeight="1">
      <c r="A80" s="632" t="s">
        <v>250</v>
      </c>
      <c r="B80" s="632"/>
      <c r="C80" s="632"/>
      <c r="D80" s="632"/>
      <c r="E80" s="632"/>
      <c r="F80" s="632"/>
      <c r="G80" s="632"/>
      <c r="H80" s="632"/>
      <c r="I80" s="632"/>
      <c r="J80" s="632"/>
      <c r="K80" s="632"/>
      <c r="L80" s="632"/>
      <c r="M80" s="632"/>
      <c r="N80" s="632"/>
      <c r="O80" s="632"/>
      <c r="P80" s="632"/>
      <c r="Q80" s="632"/>
      <c r="R80" s="92"/>
      <c r="S80" s="92"/>
      <c r="T80" s="92"/>
      <c r="U80" s="92"/>
      <c r="V80" s="92"/>
    </row>
    <row r="81" spans="1:22" ht="12" customHeight="1">
      <c r="A81" s="633" t="s">
        <v>251</v>
      </c>
      <c r="B81" s="633"/>
      <c r="C81" s="633"/>
      <c r="D81" s="633"/>
      <c r="E81" s="633"/>
      <c r="F81" s="633"/>
      <c r="G81" s="123"/>
      <c r="H81" s="123"/>
      <c r="I81" s="123"/>
      <c r="J81" s="123"/>
      <c r="K81" s="123"/>
      <c r="L81" s="68"/>
      <c r="M81" s="68"/>
      <c r="N81" s="68"/>
      <c r="O81" s="92"/>
      <c r="P81" s="92"/>
      <c r="Q81" s="92"/>
      <c r="R81" s="92"/>
      <c r="S81" s="92"/>
      <c r="T81" s="92"/>
      <c r="U81" s="92"/>
      <c r="V81" s="92"/>
    </row>
    <row r="82" spans="1:22" ht="12" customHeight="1">
      <c r="A82" s="632" t="s">
        <v>252</v>
      </c>
      <c r="B82" s="632"/>
      <c r="C82" s="632"/>
      <c r="D82" s="632"/>
      <c r="E82" s="632"/>
      <c r="F82" s="632"/>
      <c r="G82" s="632"/>
      <c r="H82" s="632"/>
      <c r="I82" s="632"/>
      <c r="J82" s="632"/>
      <c r="K82" s="632"/>
      <c r="L82" s="632"/>
      <c r="M82" s="632"/>
      <c r="N82" s="632"/>
      <c r="O82" s="632"/>
      <c r="P82" s="632"/>
      <c r="Q82" s="632"/>
      <c r="R82" s="92"/>
      <c r="S82" s="92"/>
      <c r="T82" s="92"/>
      <c r="U82" s="92"/>
      <c r="V82" s="92"/>
    </row>
    <row r="83" spans="1:22" ht="12" customHeight="1">
      <c r="A83" s="632" t="s">
        <v>253</v>
      </c>
      <c r="B83" s="632"/>
      <c r="C83" s="632"/>
      <c r="D83" s="632"/>
      <c r="E83" s="632"/>
      <c r="F83" s="632"/>
      <c r="G83" s="122"/>
      <c r="H83" s="122"/>
      <c r="I83" s="122"/>
      <c r="J83" s="122"/>
      <c r="K83" s="122"/>
      <c r="L83" s="68"/>
      <c r="M83" s="68"/>
      <c r="N83" s="68"/>
      <c r="O83" s="92"/>
      <c r="P83" s="92"/>
      <c r="Q83" s="92"/>
      <c r="R83" s="92"/>
      <c r="S83" s="92"/>
      <c r="T83" s="92"/>
      <c r="U83" s="92"/>
      <c r="V83" s="92"/>
    </row>
    <row r="84" spans="1:22" ht="12" customHeight="1">
      <c r="A84" s="632" t="s">
        <v>254</v>
      </c>
      <c r="B84" s="632"/>
      <c r="C84" s="632"/>
      <c r="D84" s="632"/>
      <c r="E84" s="632"/>
      <c r="F84" s="632"/>
      <c r="G84" s="122"/>
      <c r="H84" s="122"/>
      <c r="I84" s="122"/>
      <c r="J84" s="122"/>
      <c r="K84" s="122"/>
      <c r="L84" s="68"/>
      <c r="M84" s="68"/>
      <c r="N84" s="68"/>
      <c r="O84" s="92"/>
      <c r="P84" s="92"/>
      <c r="Q84" s="92"/>
      <c r="R84" s="92"/>
      <c r="S84" s="92"/>
      <c r="T84" s="92"/>
      <c r="U84" s="92"/>
      <c r="V84" s="92"/>
    </row>
    <row r="85" spans="1:22" ht="12" customHeight="1">
      <c r="A85" s="632" t="s">
        <v>255</v>
      </c>
      <c r="B85" s="632"/>
      <c r="C85" s="632"/>
      <c r="D85" s="632"/>
      <c r="E85" s="632"/>
      <c r="F85" s="632"/>
      <c r="G85" s="632"/>
      <c r="H85" s="632"/>
      <c r="I85" s="632"/>
      <c r="J85" s="632"/>
      <c r="K85" s="632"/>
      <c r="L85" s="632"/>
      <c r="M85" s="632"/>
      <c r="N85" s="632"/>
      <c r="O85" s="632"/>
      <c r="P85" s="632"/>
      <c r="Q85" s="632"/>
      <c r="R85" s="92"/>
      <c r="S85" s="92"/>
      <c r="T85" s="92"/>
      <c r="U85" s="92"/>
      <c r="V85" s="92"/>
    </row>
    <row r="86" spans="1:22" ht="12" customHeight="1">
      <c r="A86" s="633" t="s">
        <v>256</v>
      </c>
      <c r="B86" s="633"/>
      <c r="C86" s="633"/>
      <c r="D86" s="633"/>
      <c r="E86" s="633"/>
      <c r="F86" s="633"/>
      <c r="G86" s="123"/>
      <c r="H86" s="123"/>
      <c r="I86" s="123"/>
      <c r="J86" s="123"/>
      <c r="K86" s="123"/>
      <c r="L86" s="68"/>
      <c r="M86" s="68"/>
      <c r="N86" s="68"/>
      <c r="O86" s="92"/>
      <c r="P86" s="92"/>
      <c r="Q86" s="92"/>
      <c r="R86" s="92"/>
      <c r="S86" s="92"/>
      <c r="T86" s="92"/>
      <c r="U86" s="92"/>
      <c r="V86" s="92"/>
    </row>
    <row r="87" spans="1:22" ht="12" customHeight="1">
      <c r="A87" s="633" t="s">
        <v>257</v>
      </c>
      <c r="B87" s="633"/>
      <c r="C87" s="633"/>
      <c r="D87" s="633"/>
      <c r="E87" s="633"/>
      <c r="F87" s="633"/>
      <c r="G87" s="123"/>
      <c r="H87" s="123"/>
      <c r="I87" s="123"/>
      <c r="J87" s="123"/>
      <c r="K87" s="123"/>
      <c r="L87" s="68"/>
      <c r="M87" s="68"/>
      <c r="N87" s="68"/>
      <c r="O87" s="92"/>
      <c r="P87" s="92"/>
      <c r="Q87" s="92"/>
      <c r="R87" s="92"/>
      <c r="S87" s="92"/>
      <c r="T87" s="92"/>
      <c r="U87" s="92"/>
      <c r="V87" s="92"/>
    </row>
    <row r="88" spans="1:22" s="166" customFormat="1" ht="12" customHeight="1">
      <c r="A88" s="633" t="s">
        <v>258</v>
      </c>
      <c r="B88" s="639"/>
      <c r="C88" s="639"/>
      <c r="D88" s="639"/>
      <c r="E88" s="639"/>
      <c r="F88" s="639"/>
      <c r="G88" s="559"/>
      <c r="H88" s="559"/>
      <c r="I88" s="559"/>
      <c r="J88" s="559"/>
      <c r="K88" s="559"/>
      <c r="L88" s="560"/>
      <c r="M88" s="560"/>
      <c r="N88" s="560"/>
      <c r="O88" s="209"/>
      <c r="P88" s="209"/>
      <c r="Q88" s="209"/>
      <c r="R88" s="209"/>
      <c r="S88" s="209"/>
      <c r="T88" s="209"/>
      <c r="U88" s="209"/>
      <c r="V88" s="209"/>
    </row>
    <row r="89" spans="1:22" ht="12" customHeight="1">
      <c r="A89" s="31"/>
      <c r="B89" s="5"/>
      <c r="C89" s="5"/>
      <c r="D89" s="5"/>
      <c r="E89" s="5"/>
      <c r="F89" s="5"/>
      <c r="G89" s="5"/>
      <c r="H89" s="5"/>
      <c r="I89" s="5"/>
      <c r="J89" s="5"/>
      <c r="K89" s="5"/>
      <c r="L89" s="5"/>
      <c r="M89" s="5"/>
      <c r="N89" s="5"/>
      <c r="O89" s="5"/>
      <c r="P89" s="5"/>
    </row>
    <row r="90" spans="1:22" ht="12" customHeight="1">
      <c r="A90" s="31"/>
      <c r="B90" s="5"/>
      <c r="C90" s="5"/>
      <c r="D90" s="5"/>
      <c r="E90" s="5"/>
      <c r="F90" s="5"/>
      <c r="G90" s="5"/>
      <c r="H90" s="5"/>
      <c r="I90" s="5"/>
      <c r="J90" s="5"/>
      <c r="K90" s="5"/>
      <c r="L90" s="5"/>
      <c r="M90" s="5"/>
      <c r="N90" s="5"/>
      <c r="O90" s="5"/>
      <c r="P90" s="5"/>
    </row>
    <row r="91" spans="1:22" ht="12" customHeight="1">
      <c r="A91" s="213"/>
      <c r="B91" s="5"/>
      <c r="C91" s="5"/>
      <c r="D91" s="5"/>
      <c r="E91" s="5"/>
      <c r="F91" s="5"/>
      <c r="G91" s="5"/>
      <c r="H91" s="5"/>
      <c r="I91" s="5"/>
      <c r="J91" s="5"/>
      <c r="K91" s="5"/>
      <c r="L91" s="5"/>
      <c r="M91" s="5"/>
      <c r="N91" s="5"/>
      <c r="O91" s="5"/>
      <c r="P91" s="5"/>
    </row>
    <row r="92" spans="1:22" ht="12" customHeight="1">
      <c r="A92" s="211"/>
      <c r="B92" s="212"/>
      <c r="C92" s="212"/>
      <c r="D92" s="212"/>
      <c r="E92" s="212"/>
      <c r="F92" s="23"/>
      <c r="G92" s="23"/>
      <c r="H92" s="23"/>
      <c r="I92" s="23"/>
      <c r="J92" s="23"/>
      <c r="K92" s="23"/>
      <c r="L92" s="23"/>
    </row>
    <row r="93" spans="1:22" ht="12" customHeight="1">
      <c r="A93" s="213"/>
      <c r="B93" s="616"/>
      <c r="C93" s="213"/>
      <c r="D93" s="213"/>
      <c r="E93" s="213"/>
      <c r="F93" s="213"/>
      <c r="G93" s="213"/>
      <c r="H93" s="213"/>
      <c r="I93" s="213"/>
      <c r="J93" s="23"/>
      <c r="K93" s="23"/>
      <c r="L93" s="23"/>
    </row>
    <row r="94" spans="1:22" ht="26.1" customHeight="1">
      <c r="A94" s="213"/>
      <c r="B94" s="616"/>
      <c r="C94" s="213"/>
      <c r="D94" s="213"/>
      <c r="E94" s="213"/>
      <c r="F94" s="213"/>
      <c r="G94" s="213"/>
      <c r="H94" s="213"/>
      <c r="I94" s="213"/>
      <c r="J94" s="23"/>
      <c r="K94" s="23"/>
      <c r="L94" s="23"/>
    </row>
    <row r="95" spans="1:22" ht="18.600000000000001" customHeight="1">
      <c r="A95" s="214"/>
      <c r="B95" s="617"/>
      <c r="C95" s="214"/>
      <c r="D95" s="214"/>
      <c r="E95" s="214"/>
      <c r="F95" s="214"/>
      <c r="G95" s="214"/>
      <c r="H95" s="214"/>
      <c r="I95" s="214"/>
      <c r="J95" s="23"/>
      <c r="K95" s="23"/>
      <c r="L95" s="23"/>
    </row>
    <row r="96" spans="1:22" ht="12" customHeight="1">
      <c r="A96" s="213"/>
      <c r="B96" s="616"/>
      <c r="C96" s="213"/>
      <c r="D96" s="213"/>
      <c r="E96" s="213"/>
      <c r="F96" s="213"/>
      <c r="G96" s="213"/>
      <c r="H96" s="213"/>
      <c r="I96" s="213"/>
      <c r="J96" s="23"/>
      <c r="K96" s="23"/>
      <c r="L96" s="23"/>
    </row>
    <row r="97" spans="1:12" ht="21.95" customHeight="1">
      <c r="B97" s="616"/>
      <c r="C97" s="213"/>
      <c r="D97" s="213"/>
      <c r="E97" s="213"/>
      <c r="F97" s="213"/>
      <c r="G97" s="213"/>
      <c r="H97" s="213"/>
      <c r="I97" s="213"/>
      <c r="J97" s="23"/>
      <c r="K97" s="23"/>
      <c r="L97" s="23"/>
    </row>
    <row r="98" spans="1:12" ht="12" customHeight="1">
      <c r="A98" s="213"/>
      <c r="B98" s="616"/>
      <c r="C98" s="213"/>
      <c r="D98" s="213"/>
      <c r="E98" s="213"/>
      <c r="F98" s="213"/>
      <c r="G98" s="213"/>
      <c r="H98" s="213"/>
      <c r="I98" s="213"/>
      <c r="J98" s="23"/>
      <c r="K98" s="23"/>
      <c r="L98" s="23"/>
    </row>
    <row r="99" spans="1:12" ht="27" customHeight="1">
      <c r="A99" s="213"/>
      <c r="B99" s="616"/>
      <c r="C99" s="213"/>
      <c r="D99" s="213"/>
      <c r="E99" s="213"/>
      <c r="F99" s="213"/>
      <c r="G99" s="213"/>
      <c r="H99" s="213"/>
      <c r="I99" s="213"/>
      <c r="J99" s="23"/>
      <c r="K99" s="23"/>
      <c r="L99" s="23"/>
    </row>
    <row r="100" spans="1:12" ht="12" customHeight="1">
      <c r="A100" s="214"/>
      <c r="B100" s="617"/>
      <c r="C100" s="214"/>
      <c r="D100" s="214"/>
      <c r="E100" s="214"/>
      <c r="F100" s="214"/>
      <c r="G100" s="214"/>
      <c r="H100" s="214"/>
      <c r="I100" s="214"/>
      <c r="J100" s="23"/>
      <c r="K100" s="23"/>
      <c r="L100" s="23"/>
    </row>
  </sheetData>
  <sheetProtection algorithmName="SHA-512" hashValue="cqgfGOcyKU3r+qLPfDmqIC3XIwj9o52EGks6WoZYCxVmqySyrgHHjz72RJCsj+8aFoijrk9hY0/BlqFm4lH2sA==" saltValue="gAZvin+RXjv0pqusZXncRQ==" spinCount="100000" sheet="1" objects="1" scenarios="1" selectLockedCells="1" selectUnlockedCells="1"/>
  <mergeCells count="103">
    <mergeCell ref="A85:Q85"/>
    <mergeCell ref="A87:F87"/>
    <mergeCell ref="A88:F88"/>
    <mergeCell ref="Q41:U41"/>
    <mergeCell ref="Q42:R42"/>
    <mergeCell ref="S42:U42"/>
    <mergeCell ref="L41:P41"/>
    <mergeCell ref="L42:M42"/>
    <mergeCell ref="N42:P42"/>
    <mergeCell ref="A84:F84"/>
    <mergeCell ref="A86:F86"/>
    <mergeCell ref="A79:F79"/>
    <mergeCell ref="A81:F81"/>
    <mergeCell ref="A83:F83"/>
    <mergeCell ref="G41:K41"/>
    <mergeCell ref="G42:H42"/>
    <mergeCell ref="I42:K42"/>
    <mergeCell ref="B41:F41"/>
    <mergeCell ref="B42:C42"/>
    <mergeCell ref="D42:F42"/>
    <mergeCell ref="A80:Q80"/>
    <mergeCell ref="A82:Q82"/>
    <mergeCell ref="AU23:AU24"/>
    <mergeCell ref="AD22:AJ22"/>
    <mergeCell ref="AK22:AQ22"/>
    <mergeCell ref="AR22:AS22"/>
    <mergeCell ref="AT22:AU22"/>
    <mergeCell ref="AD23:AE23"/>
    <mergeCell ref="AF23:AH23"/>
    <mergeCell ref="AI23:AI24"/>
    <mergeCell ref="AJ23:AJ24"/>
    <mergeCell ref="AK23:AL23"/>
    <mergeCell ref="AM23:AO23"/>
    <mergeCell ref="AP23:AP24"/>
    <mergeCell ref="AQ23:AQ24"/>
    <mergeCell ref="AR23:AR24"/>
    <mergeCell ref="AS23:AS24"/>
    <mergeCell ref="AT23:AT24"/>
    <mergeCell ref="A29:A30"/>
    <mergeCell ref="J29:K29"/>
    <mergeCell ref="L29:M29"/>
    <mergeCell ref="V13:Z13"/>
    <mergeCell ref="Q13:U13"/>
    <mergeCell ref="Q14:R14"/>
    <mergeCell ref="H29:I29"/>
    <mergeCell ref="F29:G29"/>
    <mergeCell ref="P22:V22"/>
    <mergeCell ref="P23:Q23"/>
    <mergeCell ref="R23:T23"/>
    <mergeCell ref="U23:U24"/>
    <mergeCell ref="V23:V24"/>
    <mergeCell ref="L13:P13"/>
    <mergeCell ref="L14:M14"/>
    <mergeCell ref="N14:P14"/>
    <mergeCell ref="S14:U14"/>
    <mergeCell ref="W22:AC22"/>
    <mergeCell ref="W23:X23"/>
    <mergeCell ref="Y23:AA23"/>
    <mergeCell ref="AB23:AB24"/>
    <mergeCell ref="AC23:AC24"/>
    <mergeCell ref="O23:O24"/>
    <mergeCell ref="I23:J23"/>
    <mergeCell ref="V4:W4"/>
    <mergeCell ref="J4:M4"/>
    <mergeCell ref="N4:O4"/>
    <mergeCell ref="P4:Q4"/>
    <mergeCell ref="R4:S4"/>
    <mergeCell ref="T4:U4"/>
    <mergeCell ref="AK41:AO41"/>
    <mergeCell ref="V42:W42"/>
    <mergeCell ref="X42:Z42"/>
    <mergeCell ref="AA42:AB42"/>
    <mergeCell ref="AC42:AE42"/>
    <mergeCell ref="AF42:AG42"/>
    <mergeCell ref="AH42:AJ42"/>
    <mergeCell ref="AM42:AO42"/>
    <mergeCell ref="AK42:AL42"/>
    <mergeCell ref="AA41:AE41"/>
    <mergeCell ref="AF41:AJ41"/>
    <mergeCell ref="V41:Z41"/>
    <mergeCell ref="AA13:AE13"/>
    <mergeCell ref="V14:W14"/>
    <mergeCell ref="X14:Z14"/>
    <mergeCell ref="AA14:AB14"/>
    <mergeCell ref="AC14:AE14"/>
    <mergeCell ref="N23:N24"/>
    <mergeCell ref="B23:C23"/>
    <mergeCell ref="D23:F23"/>
    <mergeCell ref="G23:G24"/>
    <mergeCell ref="H23:H24"/>
    <mergeCell ref="B29:C29"/>
    <mergeCell ref="F4:I4"/>
    <mergeCell ref="G13:K13"/>
    <mergeCell ref="G14:H14"/>
    <mergeCell ref="I14:K14"/>
    <mergeCell ref="I22:O22"/>
    <mergeCell ref="B4:E4"/>
    <mergeCell ref="B13:F13"/>
    <mergeCell ref="B14:C14"/>
    <mergeCell ref="D14:F14"/>
    <mergeCell ref="B22:H22"/>
    <mergeCell ref="D29:E29"/>
    <mergeCell ref="K23:M23"/>
  </mergeCells>
  <pageMargins left="0.7" right="0.7" top="0.75" bottom="0.75" header="0.3" footer="0.3"/>
  <pageSetup paperSize="8" scale="3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K37"/>
  <sheetViews>
    <sheetView tabSelected="1" zoomScale="160" zoomScaleNormal="160" workbookViewId="0"/>
  </sheetViews>
  <sheetFormatPr defaultRowHeight="12" customHeight="1"/>
  <cols>
    <col min="1" max="1" width="25.5703125" customWidth="1"/>
    <col min="2" max="2" width="9.28515625" customWidth="1"/>
    <col min="3" max="3" width="11.42578125" customWidth="1"/>
    <col min="4" max="4" width="10" customWidth="1"/>
    <col min="5" max="5" width="7.140625" bestFit="1" customWidth="1"/>
    <col min="6" max="6" width="6" bestFit="1" customWidth="1"/>
    <col min="7" max="7" width="6.85546875" bestFit="1" customWidth="1"/>
    <col min="8" max="8" width="11" customWidth="1"/>
    <col min="9" max="9" width="10.140625" customWidth="1"/>
    <col min="10" max="10" width="5.85546875" bestFit="1" customWidth="1"/>
    <col min="11" max="11" width="5.7109375" bestFit="1" customWidth="1"/>
    <col min="12" max="12" width="7" bestFit="1" customWidth="1"/>
    <col min="13" max="13" width="12.42578125" bestFit="1" customWidth="1"/>
    <col min="14" max="14" width="10" customWidth="1"/>
    <col min="15" max="15" width="5.85546875" bestFit="1" customWidth="1"/>
    <col min="16" max="16" width="5.7109375" bestFit="1" customWidth="1"/>
    <col min="17" max="17" width="7.140625" customWidth="1"/>
  </cols>
  <sheetData>
    <row r="1" spans="1:37" ht="12" customHeight="1">
      <c r="A1" s="121"/>
      <c r="B1" s="121"/>
      <c r="C1" s="121"/>
      <c r="D1" s="121"/>
      <c r="E1" s="121"/>
      <c r="F1" s="121"/>
      <c r="G1" s="121"/>
    </row>
    <row r="2" spans="1:37" ht="23.25">
      <c r="A2" s="184" t="s">
        <v>259</v>
      </c>
      <c r="B2" s="184"/>
      <c r="C2" s="184"/>
      <c r="D2" s="184"/>
      <c r="E2" s="184"/>
      <c r="F2" s="184"/>
      <c r="G2" s="184"/>
      <c r="H2" s="179"/>
      <c r="I2" s="179"/>
      <c r="J2" s="179"/>
      <c r="K2" s="179"/>
      <c r="L2" s="179"/>
      <c r="M2" s="179"/>
      <c r="N2" s="179"/>
      <c r="O2" s="179"/>
      <c r="P2" s="179"/>
      <c r="Q2" s="179"/>
      <c r="R2" s="179"/>
      <c r="S2" s="179"/>
      <c r="T2" s="179"/>
      <c r="U2" s="179"/>
      <c r="V2" s="179"/>
    </row>
    <row r="3" spans="1:37" ht="12" customHeight="1">
      <c r="A3" s="121"/>
      <c r="B3" s="121"/>
      <c r="C3" s="121"/>
      <c r="D3" s="121"/>
      <c r="E3" s="121"/>
      <c r="F3" s="121"/>
      <c r="G3" s="121"/>
    </row>
    <row r="4" spans="1:37" ht="15">
      <c r="A4" s="169" t="s">
        <v>19</v>
      </c>
      <c r="B4" s="174" t="s">
        <v>20</v>
      </c>
      <c r="C4" s="640">
        <v>2025</v>
      </c>
      <c r="D4" s="640"/>
      <c r="E4" s="640"/>
      <c r="F4" s="640"/>
      <c r="G4" s="640"/>
      <c r="H4" s="640">
        <v>2024</v>
      </c>
      <c r="I4" s="640"/>
      <c r="J4" s="640"/>
      <c r="K4" s="640"/>
      <c r="L4" s="640"/>
      <c r="M4" s="640">
        <v>2023</v>
      </c>
      <c r="N4" s="640"/>
      <c r="O4" s="640"/>
      <c r="P4" s="640"/>
      <c r="Q4" s="640"/>
      <c r="R4" s="640">
        <v>2022</v>
      </c>
      <c r="S4" s="640"/>
      <c r="T4" s="640"/>
      <c r="U4" s="640"/>
      <c r="V4" s="640"/>
      <c r="W4" s="640">
        <v>2021</v>
      </c>
      <c r="X4" s="640"/>
      <c r="Y4" s="640"/>
      <c r="Z4" s="640"/>
      <c r="AA4" s="640"/>
      <c r="AB4" s="640">
        <v>2020</v>
      </c>
      <c r="AC4" s="640"/>
      <c r="AD4" s="640"/>
      <c r="AE4" s="640"/>
      <c r="AF4" s="640"/>
      <c r="AG4" s="640">
        <v>2019</v>
      </c>
      <c r="AH4" s="640"/>
      <c r="AI4" s="640"/>
      <c r="AJ4" s="640"/>
      <c r="AK4" s="640"/>
    </row>
    <row r="5" spans="1:37" ht="56.25">
      <c r="A5" s="169" t="s">
        <v>260</v>
      </c>
      <c r="B5" s="174"/>
      <c r="C5" s="170" t="s">
        <v>261</v>
      </c>
      <c r="D5" s="170" t="s">
        <v>262</v>
      </c>
      <c r="E5" s="170" t="s">
        <v>263</v>
      </c>
      <c r="F5" s="170" t="s">
        <v>264</v>
      </c>
      <c r="G5" s="170" t="s">
        <v>27</v>
      </c>
      <c r="H5" s="170" t="s">
        <v>261</v>
      </c>
      <c r="I5" s="170" t="s">
        <v>262</v>
      </c>
      <c r="J5" s="170" t="s">
        <v>263</v>
      </c>
      <c r="K5" s="170" t="s">
        <v>264</v>
      </c>
      <c r="L5" s="170" t="s">
        <v>27</v>
      </c>
      <c r="M5" s="170" t="s">
        <v>261</v>
      </c>
      <c r="N5" s="170" t="s">
        <v>262</v>
      </c>
      <c r="O5" s="170" t="s">
        <v>263</v>
      </c>
      <c r="P5" s="170" t="s">
        <v>264</v>
      </c>
      <c r="Q5" s="170" t="s">
        <v>27</v>
      </c>
      <c r="R5" s="170" t="s">
        <v>261</v>
      </c>
      <c r="S5" s="170" t="s">
        <v>262</v>
      </c>
      <c r="T5" s="170" t="s">
        <v>263</v>
      </c>
      <c r="U5" s="170" t="s">
        <v>264</v>
      </c>
      <c r="V5" s="170" t="s">
        <v>27</v>
      </c>
      <c r="W5" s="170" t="s">
        <v>261</v>
      </c>
      <c r="X5" s="170" t="s">
        <v>262</v>
      </c>
      <c r="Y5" s="170" t="s">
        <v>263</v>
      </c>
      <c r="Z5" s="170" t="s">
        <v>264</v>
      </c>
      <c r="AA5" s="170" t="s">
        <v>27</v>
      </c>
      <c r="AB5" s="170" t="s">
        <v>261</v>
      </c>
      <c r="AC5" s="170" t="s">
        <v>262</v>
      </c>
      <c r="AD5" s="170" t="s">
        <v>263</v>
      </c>
      <c r="AE5" s="170" t="s">
        <v>264</v>
      </c>
      <c r="AF5" s="170" t="s">
        <v>27</v>
      </c>
      <c r="AG5" s="170" t="s">
        <v>261</v>
      </c>
      <c r="AH5" s="170" t="s">
        <v>262</v>
      </c>
      <c r="AI5" s="170" t="s">
        <v>263</v>
      </c>
      <c r="AJ5" s="170" t="s">
        <v>264</v>
      </c>
      <c r="AK5" s="170" t="s">
        <v>27</v>
      </c>
    </row>
    <row r="6" spans="1:37" ht="12" customHeight="1">
      <c r="A6" s="28" t="s">
        <v>14</v>
      </c>
      <c r="B6" s="6" t="s">
        <v>265</v>
      </c>
      <c r="C6" s="5">
        <f>1180+2500+5000+1000+400</f>
        <v>10080</v>
      </c>
      <c r="D6" s="5">
        <f>800+44000</f>
        <v>44800</v>
      </c>
      <c r="E6" s="5">
        <f>1200</f>
        <v>1200</v>
      </c>
      <c r="F6" s="5"/>
      <c r="G6" s="5">
        <f>SUM(C6:F6)</f>
        <v>56080</v>
      </c>
      <c r="H6" s="5">
        <v>28445.439999999999</v>
      </c>
      <c r="I6" s="5">
        <v>29732.9</v>
      </c>
      <c r="J6" s="5">
        <v>3700</v>
      </c>
      <c r="K6" s="5"/>
      <c r="L6" s="5">
        <f>SUM(H6:K6)</f>
        <v>61878.34</v>
      </c>
      <c r="M6" s="5">
        <v>55075</v>
      </c>
      <c r="N6" s="5">
        <v>71624</v>
      </c>
      <c r="O6" s="5">
        <v>15411</v>
      </c>
      <c r="P6" s="5">
        <v>35121</v>
      </c>
      <c r="Q6" s="5">
        <f>SUM(M6:P6)</f>
        <v>177231</v>
      </c>
      <c r="R6" s="5">
        <v>35090</v>
      </c>
      <c r="S6" s="5">
        <v>51319</v>
      </c>
      <c r="T6" s="5">
        <v>7158</v>
      </c>
      <c r="U6" s="5">
        <v>47421</v>
      </c>
      <c r="V6" s="5">
        <f>SUM(R6:U6)</f>
        <v>140988</v>
      </c>
      <c r="W6" s="5">
        <v>500</v>
      </c>
      <c r="X6" s="5">
        <v>25310</v>
      </c>
      <c r="Y6" s="5">
        <v>2522</v>
      </c>
      <c r="Z6" s="5">
        <v>40725</v>
      </c>
      <c r="AA6" s="5">
        <f>SUM(W6:Z6)</f>
        <v>69057</v>
      </c>
      <c r="AB6" s="5">
        <v>5691</v>
      </c>
      <c r="AC6" s="26">
        <v>7220</v>
      </c>
      <c r="AD6" s="5">
        <v>1000</v>
      </c>
      <c r="AE6" s="26">
        <v>52106</v>
      </c>
      <c r="AF6" s="241">
        <f>SUM(AB6:AE6)</f>
        <v>66017</v>
      </c>
      <c r="AG6" s="5">
        <v>205639</v>
      </c>
      <c r="AH6" s="5">
        <v>145938</v>
      </c>
      <c r="AI6" s="5">
        <v>9900</v>
      </c>
      <c r="AJ6" s="5">
        <v>38297</v>
      </c>
      <c r="AK6" s="5">
        <f>SUM(AG6:AJ6)</f>
        <v>399774</v>
      </c>
    </row>
    <row r="7" spans="1:37" ht="12" customHeight="1" thickBot="1">
      <c r="A7" s="75" t="s">
        <v>16</v>
      </c>
      <c r="B7" s="25" t="s">
        <v>266</v>
      </c>
      <c r="C7" s="70">
        <v>2499.34</v>
      </c>
      <c r="D7" s="70">
        <v>59850</v>
      </c>
      <c r="E7" s="70"/>
      <c r="F7" s="70">
        <v>21835</v>
      </c>
      <c r="G7" s="70">
        <f>SUM(C7:F7)</f>
        <v>84184.34</v>
      </c>
      <c r="H7" s="70">
        <v>60351.360000000001</v>
      </c>
      <c r="I7" s="70">
        <v>85595.43</v>
      </c>
      <c r="J7" s="70">
        <v>0</v>
      </c>
      <c r="K7" s="70"/>
      <c r="L7" s="70">
        <f>SUM(H7:K7)</f>
        <v>145946.78999999998</v>
      </c>
      <c r="M7" s="70">
        <v>155820.84</v>
      </c>
      <c r="N7" s="70">
        <v>49578</v>
      </c>
      <c r="O7" s="70">
        <v>0</v>
      </c>
      <c r="P7" s="70">
        <v>0</v>
      </c>
      <c r="Q7" s="70">
        <f>SUM(M7:P7)</f>
        <v>205398.84</v>
      </c>
      <c r="R7" s="70">
        <v>225575</v>
      </c>
      <c r="S7" s="70">
        <v>37950</v>
      </c>
      <c r="T7" s="70">
        <v>0</v>
      </c>
      <c r="U7" s="70">
        <v>0</v>
      </c>
      <c r="V7" s="70">
        <f>SUM(R7:U7)</f>
        <v>263525</v>
      </c>
      <c r="W7" s="70">
        <v>6182</v>
      </c>
      <c r="X7" s="70">
        <v>20250</v>
      </c>
      <c r="Y7" s="70">
        <v>0</v>
      </c>
      <c r="Z7" s="70">
        <v>0</v>
      </c>
      <c r="AA7" s="70">
        <f>SUM(W7:Z7)</f>
        <v>26432</v>
      </c>
      <c r="AB7" s="70">
        <v>1000</v>
      </c>
      <c r="AC7" s="76">
        <v>5400</v>
      </c>
      <c r="AD7" s="70">
        <v>0</v>
      </c>
      <c r="AE7" s="76">
        <v>1030</v>
      </c>
      <c r="AF7" s="76">
        <f>SUM(AB7:AE7)</f>
        <v>7430</v>
      </c>
      <c r="AG7" s="70">
        <v>495181</v>
      </c>
      <c r="AH7" s="70">
        <v>28836</v>
      </c>
      <c r="AI7" s="70" t="s">
        <v>267</v>
      </c>
      <c r="AJ7" s="70" t="s">
        <v>267</v>
      </c>
      <c r="AK7" s="242">
        <f>SUM(AG7:AJ7)</f>
        <v>524017</v>
      </c>
    </row>
    <row r="8" spans="1:37" ht="12" customHeight="1">
      <c r="A8" s="30"/>
      <c r="B8" s="24"/>
      <c r="M8" s="278"/>
    </row>
    <row r="9" spans="1:37" ht="22.5">
      <c r="A9" s="173" t="s">
        <v>268</v>
      </c>
      <c r="B9" s="174" t="s">
        <v>20</v>
      </c>
      <c r="C9" s="170">
        <v>2025</v>
      </c>
      <c r="D9" s="170">
        <v>2024</v>
      </c>
      <c r="E9" s="170">
        <v>2023</v>
      </c>
      <c r="F9" s="170">
        <v>2022</v>
      </c>
      <c r="G9" s="170">
        <v>2021</v>
      </c>
      <c r="H9" s="170">
        <v>2020</v>
      </c>
      <c r="I9" s="23"/>
      <c r="J9" s="23"/>
    </row>
    <row r="10" spans="1:37" ht="12" customHeight="1">
      <c r="A10" s="28" t="s">
        <v>14</v>
      </c>
      <c r="B10" s="21" t="s">
        <v>269</v>
      </c>
      <c r="C10" s="78">
        <v>0</v>
      </c>
      <c r="D10" s="78">
        <v>0</v>
      </c>
      <c r="E10" s="78">
        <v>0</v>
      </c>
      <c r="F10" s="78">
        <v>0</v>
      </c>
      <c r="G10" s="78">
        <v>0</v>
      </c>
      <c r="H10" s="67">
        <v>0</v>
      </c>
      <c r="I10" s="23"/>
      <c r="J10" s="23"/>
      <c r="O10" s="278"/>
    </row>
    <row r="11" spans="1:37" ht="12" customHeight="1" thickBot="1">
      <c r="A11" s="75" t="s">
        <v>16</v>
      </c>
      <c r="B11" s="25" t="s">
        <v>269</v>
      </c>
      <c r="C11" s="224">
        <v>0</v>
      </c>
      <c r="D11" s="224">
        <v>0</v>
      </c>
      <c r="E11" s="224">
        <v>0</v>
      </c>
      <c r="F11" s="224">
        <v>0</v>
      </c>
      <c r="G11" s="224">
        <v>0</v>
      </c>
      <c r="H11" s="74">
        <v>0</v>
      </c>
      <c r="I11" s="23"/>
      <c r="J11" s="23"/>
      <c r="M11" s="278"/>
    </row>
    <row r="12" spans="1:37" ht="12" customHeight="1">
      <c r="A12" s="30"/>
      <c r="B12" s="24"/>
      <c r="C12" s="24"/>
      <c r="D12" s="24"/>
      <c r="E12" s="23"/>
      <c r="F12" s="23"/>
      <c r="G12" s="23"/>
      <c r="M12" s="278"/>
    </row>
    <row r="13" spans="1:37" ht="22.5">
      <c r="A13" s="173" t="s">
        <v>270</v>
      </c>
      <c r="B13" s="174" t="s">
        <v>20</v>
      </c>
      <c r="C13" s="170">
        <v>2025</v>
      </c>
      <c r="D13" s="170">
        <v>2024</v>
      </c>
      <c r="E13" s="170">
        <v>2023</v>
      </c>
      <c r="F13" s="170">
        <v>2022</v>
      </c>
      <c r="G13" s="170">
        <v>2021</v>
      </c>
      <c r="H13" s="170">
        <v>2020</v>
      </c>
      <c r="I13" s="170">
        <v>2019</v>
      </c>
      <c r="J13" s="170">
        <v>2018</v>
      </c>
    </row>
    <row r="14" spans="1:37" ht="12" customHeight="1">
      <c r="A14" s="28" t="s">
        <v>271</v>
      </c>
      <c r="B14" s="6" t="s">
        <v>272</v>
      </c>
      <c r="C14" s="355">
        <v>42</v>
      </c>
      <c r="D14" s="355">
        <v>43</v>
      </c>
      <c r="E14" s="355">
        <v>53</v>
      </c>
      <c r="F14" s="355">
        <v>54</v>
      </c>
      <c r="G14" s="84">
        <v>56</v>
      </c>
      <c r="H14" s="356">
        <v>57</v>
      </c>
      <c r="I14" s="5">
        <v>56</v>
      </c>
      <c r="J14" s="5">
        <v>61</v>
      </c>
      <c r="O14" s="278"/>
    </row>
    <row r="15" spans="1:37" ht="12" customHeight="1">
      <c r="A15" s="29" t="s">
        <v>273</v>
      </c>
      <c r="B15" s="22" t="s">
        <v>272</v>
      </c>
      <c r="C15" s="305">
        <v>61</v>
      </c>
      <c r="D15" s="305">
        <v>61</v>
      </c>
      <c r="E15" s="305">
        <v>60</v>
      </c>
      <c r="F15" s="305">
        <v>60</v>
      </c>
      <c r="G15" s="81">
        <v>58</v>
      </c>
      <c r="H15" s="357">
        <v>57</v>
      </c>
      <c r="I15" s="20">
        <v>57</v>
      </c>
      <c r="J15" s="19">
        <v>56</v>
      </c>
    </row>
    <row r="16" spans="1:37" ht="12" customHeight="1">
      <c r="A16" s="28" t="s">
        <v>274</v>
      </c>
      <c r="B16" s="6" t="s">
        <v>272</v>
      </c>
      <c r="C16" s="306">
        <v>39</v>
      </c>
      <c r="D16" s="306">
        <v>39</v>
      </c>
      <c r="E16" s="306">
        <v>40</v>
      </c>
      <c r="F16" s="306">
        <v>42</v>
      </c>
      <c r="G16" s="78">
        <v>40</v>
      </c>
      <c r="H16" s="357">
        <v>40</v>
      </c>
      <c r="I16" s="5">
        <v>45</v>
      </c>
      <c r="J16" s="19">
        <v>48</v>
      </c>
    </row>
    <row r="17" spans="1:10" ht="12" customHeight="1">
      <c r="A17" s="75" t="s">
        <v>275</v>
      </c>
      <c r="B17" s="25" t="s">
        <v>272</v>
      </c>
      <c r="C17" s="307">
        <v>0</v>
      </c>
      <c r="D17" s="307">
        <v>41</v>
      </c>
      <c r="E17" s="307">
        <v>41</v>
      </c>
      <c r="F17" s="307">
        <v>46</v>
      </c>
      <c r="G17" s="224">
        <v>62</v>
      </c>
      <c r="H17" s="358">
        <v>64</v>
      </c>
      <c r="I17" s="70">
        <v>48</v>
      </c>
      <c r="J17" s="70">
        <v>52</v>
      </c>
    </row>
    <row r="18" spans="1:10" ht="12" customHeight="1">
      <c r="B18" s="24"/>
    </row>
    <row r="19" spans="1:10" ht="12" customHeight="1">
      <c r="A19" s="279" t="s">
        <v>276</v>
      </c>
    </row>
    <row r="20" spans="1:10" ht="12" customHeight="1">
      <c r="A20" s="276"/>
    </row>
    <row r="21" spans="1:10" ht="12" customHeight="1">
      <c r="A21" s="276"/>
    </row>
    <row r="22" spans="1:10" ht="12" customHeight="1">
      <c r="A22" s="276"/>
    </row>
    <row r="30" spans="1:10" ht="29.25" customHeight="1"/>
    <row r="31" spans="1:10" ht="30" customHeight="1"/>
    <row r="33" spans="2:3" ht="12" customHeight="1">
      <c r="B33" s="628"/>
      <c r="C33" s="278"/>
    </row>
    <row r="34" spans="2:3" ht="12" customHeight="1">
      <c r="B34" s="628"/>
      <c r="C34" s="278"/>
    </row>
    <row r="35" spans="2:3" ht="12" customHeight="1">
      <c r="B35" s="628"/>
      <c r="C35" s="278"/>
    </row>
    <row r="36" spans="2:3" ht="12" customHeight="1">
      <c r="B36" s="628"/>
      <c r="C36" s="278"/>
    </row>
    <row r="37" spans="2:3" ht="12" customHeight="1">
      <c r="B37" s="628"/>
      <c r="C37" s="278"/>
    </row>
  </sheetData>
  <sheetProtection algorithmName="SHA-512" hashValue="jllK8P7XLr1Drsn+hTCd1CT/mjH5U3Vk01jtt8qAa18yvwVMvDH7z+2xxJpPzDOpxVEJf+MejPqWOKs3gIHAqQ==" saltValue="451MiZWqg+GWESFR3X8jiQ==" spinCount="100000" sheet="1" objects="1" scenarios="1" selectLockedCells="1" selectUnlockedCells="1"/>
  <mergeCells count="7">
    <mergeCell ref="C4:G4"/>
    <mergeCell ref="W4:AA4"/>
    <mergeCell ref="AB4:AF4"/>
    <mergeCell ref="AG4:AK4"/>
    <mergeCell ref="R4:V4"/>
    <mergeCell ref="M4:Q4"/>
    <mergeCell ref="H4:L4"/>
  </mergeCells>
  <pageMargins left="0.7" right="0.7" top="0.75" bottom="0.75" header="0.3" footer="0.3"/>
  <pageSetup paperSize="8" scale="56" fitToHeight="0"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150"/>
  <sheetViews>
    <sheetView zoomScale="115" zoomScaleNormal="115" workbookViewId="0"/>
  </sheetViews>
  <sheetFormatPr defaultRowHeight="12" customHeight="1"/>
  <cols>
    <col min="1" max="1" width="44.7109375" bestFit="1" customWidth="1"/>
    <col min="2" max="2" width="6" bestFit="1" customWidth="1"/>
    <col min="3" max="3" width="12.140625" bestFit="1" customWidth="1"/>
    <col min="4" max="4" width="10.140625" bestFit="1" customWidth="1"/>
    <col min="5" max="5" width="10.85546875" bestFit="1" customWidth="1"/>
    <col min="6" max="6" width="10.28515625" customWidth="1"/>
    <col min="7" max="7" width="7.85546875" bestFit="1" customWidth="1"/>
    <col min="8" max="8" width="7" bestFit="1" customWidth="1"/>
    <col min="9" max="9" width="9.28515625" bestFit="1" customWidth="1"/>
    <col min="10" max="10" width="7" customWidth="1"/>
  </cols>
  <sheetData>
    <row r="1" spans="1:13" ht="12" customHeight="1">
      <c r="I1" s="32"/>
      <c r="J1" s="33"/>
      <c r="K1" s="34"/>
      <c r="L1" s="34"/>
      <c r="M1" s="32"/>
    </row>
    <row r="2" spans="1:13" ht="23.25">
      <c r="A2" s="167" t="s">
        <v>277</v>
      </c>
      <c r="B2" s="210"/>
      <c r="C2" s="210"/>
      <c r="D2" s="210"/>
      <c r="E2" s="168"/>
      <c r="F2" s="167"/>
      <c r="G2" s="167"/>
      <c r="H2" s="167"/>
      <c r="I2" s="167"/>
      <c r="J2" s="167"/>
      <c r="K2" s="34"/>
      <c r="L2" s="34"/>
      <c r="M2" s="32"/>
    </row>
    <row r="3" spans="1:13" ht="12" customHeight="1">
      <c r="I3" s="32"/>
      <c r="J3" s="33"/>
      <c r="K3" s="34"/>
      <c r="L3" s="34"/>
      <c r="M3" s="32"/>
    </row>
    <row r="4" spans="1:13" ht="12" customHeight="1">
      <c r="A4" s="406" t="s">
        <v>19</v>
      </c>
      <c r="B4" s="405" t="s">
        <v>20</v>
      </c>
      <c r="C4" s="407">
        <v>2025</v>
      </c>
      <c r="D4" s="407">
        <v>2024</v>
      </c>
      <c r="E4" s="407">
        <v>2023</v>
      </c>
      <c r="F4" s="407">
        <v>2022</v>
      </c>
      <c r="G4" s="407">
        <v>2021</v>
      </c>
      <c r="H4" s="408">
        <v>2020</v>
      </c>
      <c r="I4" s="408">
        <v>2019</v>
      </c>
      <c r="J4" s="408">
        <v>2018</v>
      </c>
    </row>
    <row r="5" spans="1:13" ht="12" customHeight="1">
      <c r="A5" s="406" t="s">
        <v>278</v>
      </c>
      <c r="B5" s="405"/>
      <c r="C5" s="407"/>
      <c r="D5" s="407"/>
      <c r="E5" s="407"/>
      <c r="F5" s="407"/>
      <c r="G5" s="407"/>
      <c r="H5" s="408"/>
      <c r="I5" s="408"/>
      <c r="J5" s="408"/>
    </row>
    <row r="6" spans="1:13" ht="12" customHeight="1">
      <c r="A6" s="52" t="s">
        <v>279</v>
      </c>
      <c r="B6" s="53" t="s">
        <v>280</v>
      </c>
      <c r="C6" s="409">
        <v>115.1</v>
      </c>
      <c r="D6" s="409">
        <v>381.69999999999987</v>
      </c>
      <c r="E6" s="409">
        <v>1215.5999999999999</v>
      </c>
      <c r="F6" s="409">
        <v>486.1</v>
      </c>
      <c r="G6" s="409">
        <v>53.8</v>
      </c>
      <c r="H6" s="410">
        <v>634.20000000000005</v>
      </c>
      <c r="I6" s="410">
        <v>595.29999999999995</v>
      </c>
      <c r="J6" s="411" t="s">
        <v>281</v>
      </c>
    </row>
    <row r="7" spans="1:13" ht="12" customHeight="1">
      <c r="A7" s="412" t="s">
        <v>282</v>
      </c>
      <c r="B7" s="413" t="s">
        <v>280</v>
      </c>
      <c r="C7" s="414">
        <v>-40.700000000000003</v>
      </c>
      <c r="D7" s="414">
        <v>-387.2</v>
      </c>
      <c r="E7" s="414">
        <v>-120.7</v>
      </c>
      <c r="F7" s="414">
        <v>1582.2</v>
      </c>
      <c r="G7" s="414">
        <v>715.7</v>
      </c>
      <c r="H7" s="415">
        <v>-555.1</v>
      </c>
      <c r="I7" s="415">
        <v>-67.8</v>
      </c>
      <c r="J7" s="416" t="s">
        <v>281</v>
      </c>
    </row>
    <row r="8" spans="1:13" ht="12" customHeight="1">
      <c r="A8" s="52" t="s">
        <v>283</v>
      </c>
      <c r="B8" s="53" t="s">
        <v>280</v>
      </c>
      <c r="C8" s="411">
        <v>-483.7</v>
      </c>
      <c r="D8" s="411">
        <v>1.4</v>
      </c>
      <c r="E8" s="411">
        <v>-576.29999999999995</v>
      </c>
      <c r="F8" s="411">
        <v>-162.9</v>
      </c>
      <c r="G8" s="411">
        <v>-31</v>
      </c>
      <c r="H8" s="410">
        <v>-195.6</v>
      </c>
      <c r="I8" s="410">
        <v>-16.899999999999999</v>
      </c>
      <c r="J8" s="411" t="s">
        <v>281</v>
      </c>
    </row>
    <row r="9" spans="1:13" ht="12" customHeight="1">
      <c r="A9" s="412" t="s">
        <v>284</v>
      </c>
      <c r="B9" s="413" t="s">
        <v>280</v>
      </c>
      <c r="C9" s="414">
        <v>190.4</v>
      </c>
      <c r="D9" s="414">
        <v>16.600000000000001</v>
      </c>
      <c r="E9" s="414">
        <v>-216</v>
      </c>
      <c r="F9" s="414">
        <v>-320.3</v>
      </c>
      <c r="G9" s="414">
        <v>-180.4</v>
      </c>
      <c r="H9" s="415">
        <v>32.5</v>
      </c>
      <c r="I9" s="415">
        <v>90.1</v>
      </c>
      <c r="J9" s="416" t="s">
        <v>281</v>
      </c>
    </row>
    <row r="10" spans="1:13" ht="12" customHeight="1">
      <c r="A10" s="52" t="s">
        <v>285</v>
      </c>
      <c r="B10" s="53" t="s">
        <v>280</v>
      </c>
      <c r="C10" s="411">
        <v>-26.6</v>
      </c>
      <c r="D10" s="411">
        <v>18.3</v>
      </c>
      <c r="E10" s="411">
        <v>-10.6</v>
      </c>
      <c r="F10" s="411">
        <v>-7.2</v>
      </c>
      <c r="G10" s="411">
        <v>-56</v>
      </c>
      <c r="H10" s="410">
        <v>-19.100000000000001</v>
      </c>
      <c r="I10" s="410">
        <v>-12.2</v>
      </c>
      <c r="J10" s="411" t="s">
        <v>281</v>
      </c>
    </row>
    <row r="11" spans="1:13" ht="12" customHeight="1">
      <c r="A11" s="412" t="s">
        <v>286</v>
      </c>
      <c r="B11" s="413" t="s">
        <v>280</v>
      </c>
      <c r="C11" s="414">
        <v>142.30000000000001</v>
      </c>
      <c r="D11" s="414">
        <v>75.900000000000006</v>
      </c>
      <c r="E11" s="414">
        <v>68.7</v>
      </c>
      <c r="F11" s="414">
        <v>-352.9</v>
      </c>
      <c r="G11" s="414">
        <v>-10.199999999999999</v>
      </c>
      <c r="H11" s="415">
        <v>144.4</v>
      </c>
      <c r="I11" s="415">
        <v>49.4</v>
      </c>
      <c r="J11" s="416" t="s">
        <v>281</v>
      </c>
    </row>
    <row r="12" spans="1:13" ht="12" customHeight="1">
      <c r="A12" s="52" t="s">
        <v>287</v>
      </c>
      <c r="B12" s="53" t="s">
        <v>280</v>
      </c>
      <c r="C12" s="411">
        <v>0</v>
      </c>
      <c r="D12" s="411">
        <v>0</v>
      </c>
      <c r="E12" s="411">
        <v>0</v>
      </c>
      <c r="F12" s="411">
        <v>0</v>
      </c>
      <c r="G12" s="411">
        <v>0</v>
      </c>
      <c r="H12" s="410">
        <v>10</v>
      </c>
      <c r="I12" s="411" t="s">
        <v>281</v>
      </c>
      <c r="J12" s="411" t="s">
        <v>281</v>
      </c>
    </row>
    <row r="13" spans="1:13" ht="12" customHeight="1">
      <c r="A13" s="412" t="s">
        <v>288</v>
      </c>
      <c r="B13" s="413" t="s">
        <v>280</v>
      </c>
      <c r="C13" s="414">
        <v>-41</v>
      </c>
      <c r="D13" s="414">
        <v>8.3999999999999915</v>
      </c>
      <c r="E13" s="414">
        <v>21</v>
      </c>
      <c r="F13" s="414">
        <v>-9.4</v>
      </c>
      <c r="G13" s="414">
        <v>-5.8</v>
      </c>
      <c r="H13" s="415">
        <v>2.5</v>
      </c>
      <c r="I13" s="415">
        <v>-7</v>
      </c>
      <c r="J13" s="416" t="s">
        <v>281</v>
      </c>
    </row>
    <row r="14" spans="1:13" ht="12" customHeight="1">
      <c r="A14" s="52" t="s">
        <v>289</v>
      </c>
      <c r="B14" s="53" t="s">
        <v>280</v>
      </c>
      <c r="C14" s="409">
        <f>SUM(C6:C13)</f>
        <v>-144.19999999999999</v>
      </c>
      <c r="D14" s="409">
        <v>115.09999999999989</v>
      </c>
      <c r="E14" s="409">
        <f>+SUM(E6:E13)</f>
        <v>381.69999999999987</v>
      </c>
      <c r="F14" s="409">
        <f>+SUM(F6:F13)</f>
        <v>1215.5999999999999</v>
      </c>
      <c r="G14" s="409">
        <f>SUM(G6:G13)</f>
        <v>486.1</v>
      </c>
      <c r="H14" s="410">
        <v>53.8</v>
      </c>
      <c r="I14" s="410">
        <v>634.20000000000005</v>
      </c>
      <c r="J14" s="410">
        <v>595.29999999999995</v>
      </c>
    </row>
    <row r="15" spans="1:13" ht="12" customHeight="1">
      <c r="A15" s="406" t="s">
        <v>290</v>
      </c>
      <c r="B15" s="405"/>
      <c r="C15" s="407"/>
      <c r="D15" s="407"/>
      <c r="E15" s="407"/>
      <c r="F15" s="407"/>
      <c r="G15" s="407"/>
      <c r="H15" s="408"/>
      <c r="I15" s="408"/>
      <c r="J15" s="408"/>
    </row>
    <row r="16" spans="1:13" ht="12" customHeight="1">
      <c r="A16" s="52" t="s">
        <v>291</v>
      </c>
      <c r="B16" s="53" t="s">
        <v>280</v>
      </c>
      <c r="C16" s="409">
        <v>339.6</v>
      </c>
      <c r="D16" s="409">
        <v>339.2999999999999</v>
      </c>
      <c r="E16" s="409">
        <f>+F30</f>
        <v>334.5999999999998</v>
      </c>
      <c r="F16" s="409">
        <v>437.9</v>
      </c>
      <c r="G16" s="409">
        <v>45.7</v>
      </c>
      <c r="H16" s="223">
        <v>26.6</v>
      </c>
      <c r="I16" s="410">
        <v>124.9</v>
      </c>
      <c r="J16" s="410" t="s">
        <v>281</v>
      </c>
    </row>
    <row r="17" spans="1:10" ht="12" customHeight="1">
      <c r="A17" s="412" t="s">
        <v>292</v>
      </c>
      <c r="B17" s="413" t="s">
        <v>280</v>
      </c>
      <c r="C17" s="416">
        <v>-80</v>
      </c>
      <c r="D17" s="416">
        <v>74</v>
      </c>
      <c r="E17" s="416">
        <v>268.3</v>
      </c>
      <c r="F17" s="416">
        <v>926.6</v>
      </c>
      <c r="G17" s="416">
        <v>442</v>
      </c>
      <c r="H17" s="417">
        <v>-3</v>
      </c>
      <c r="I17" s="415">
        <v>477.4</v>
      </c>
      <c r="J17" s="412">
        <v>364.8</v>
      </c>
    </row>
    <row r="18" spans="1:10" ht="12" customHeight="1">
      <c r="A18" s="418" t="s">
        <v>293</v>
      </c>
      <c r="B18" s="53" t="s">
        <v>280</v>
      </c>
      <c r="C18" s="419">
        <v>-244.8</v>
      </c>
      <c r="D18" s="419">
        <v>-248.1</v>
      </c>
      <c r="E18" s="419">
        <v>-237.2</v>
      </c>
      <c r="F18" s="419">
        <v>-199.7</v>
      </c>
      <c r="G18" s="419">
        <v>-89.7</v>
      </c>
      <c r="H18" s="420">
        <v>-117.9</v>
      </c>
      <c r="I18" s="421">
        <v>-183.3</v>
      </c>
      <c r="J18" s="418">
        <v>114.2</v>
      </c>
    </row>
    <row r="19" spans="1:10" ht="12" customHeight="1">
      <c r="A19" s="374" t="s">
        <v>294</v>
      </c>
      <c r="B19" s="413" t="s">
        <v>280</v>
      </c>
      <c r="C19" s="422">
        <v>18.8</v>
      </c>
      <c r="D19" s="422">
        <v>0</v>
      </c>
      <c r="E19" s="422">
        <v>0</v>
      </c>
      <c r="F19" s="422" t="s">
        <v>281</v>
      </c>
      <c r="G19" s="422">
        <v>27.5</v>
      </c>
      <c r="H19" s="423" t="s">
        <v>281</v>
      </c>
      <c r="I19" s="423" t="s">
        <v>281</v>
      </c>
      <c r="J19" s="424" t="s">
        <v>281</v>
      </c>
    </row>
    <row r="20" spans="1:10" ht="12" customHeight="1">
      <c r="A20" s="52" t="s">
        <v>295</v>
      </c>
      <c r="B20" s="413" t="s">
        <v>280</v>
      </c>
      <c r="C20" s="409">
        <v>-72.8</v>
      </c>
      <c r="D20" s="409">
        <v>21.8</v>
      </c>
      <c r="E20" s="409">
        <v>-1</v>
      </c>
      <c r="F20" s="409">
        <v>-8.9</v>
      </c>
      <c r="G20" s="409">
        <v>-73.7</v>
      </c>
      <c r="H20" s="425" t="s">
        <v>281</v>
      </c>
      <c r="I20" s="425" t="s">
        <v>281</v>
      </c>
      <c r="J20" s="425" t="s">
        <v>281</v>
      </c>
    </row>
    <row r="21" spans="1:10" ht="12" customHeight="1">
      <c r="A21" s="412" t="s">
        <v>296</v>
      </c>
      <c r="B21" s="413" t="s">
        <v>280</v>
      </c>
      <c r="C21" s="414">
        <v>340</v>
      </c>
      <c r="D21" s="414">
        <v>449.9</v>
      </c>
      <c r="E21" s="414">
        <v>0</v>
      </c>
      <c r="F21" s="414" t="s">
        <v>281</v>
      </c>
      <c r="G21" s="414">
        <v>411.5</v>
      </c>
      <c r="H21" s="426">
        <v>217</v>
      </c>
      <c r="I21" s="415">
        <v>474.2</v>
      </c>
      <c r="J21" s="412">
        <v>720.1</v>
      </c>
    </row>
    <row r="22" spans="1:10" ht="12" customHeight="1">
      <c r="A22" s="418" t="s">
        <v>297</v>
      </c>
      <c r="B22" s="427" t="s">
        <v>280</v>
      </c>
      <c r="C22" s="419">
        <v>-8.1</v>
      </c>
      <c r="D22" s="419">
        <v>-13.9</v>
      </c>
      <c r="E22" s="419">
        <v>-3.4</v>
      </c>
      <c r="F22" s="419" t="s">
        <v>281</v>
      </c>
      <c r="G22" s="419">
        <v>-15.3</v>
      </c>
      <c r="H22" s="428" t="s">
        <v>281</v>
      </c>
      <c r="I22" s="429" t="s">
        <v>281</v>
      </c>
      <c r="J22" s="430" t="s">
        <v>281</v>
      </c>
    </row>
    <row r="23" spans="1:10" ht="12" customHeight="1">
      <c r="A23" s="52" t="s">
        <v>298</v>
      </c>
      <c r="B23" s="53" t="s">
        <v>280</v>
      </c>
      <c r="C23" s="411">
        <v>-8.3000000000000007</v>
      </c>
      <c r="D23" s="411">
        <v>-16.7</v>
      </c>
      <c r="E23" s="411">
        <v>-16.8</v>
      </c>
      <c r="F23" s="411">
        <v>-700.2</v>
      </c>
      <c r="G23" s="411">
        <v>0</v>
      </c>
      <c r="H23" s="223">
        <v>-24.2</v>
      </c>
      <c r="I23" s="410">
        <v>-408</v>
      </c>
      <c r="J23" s="410">
        <v>0</v>
      </c>
    </row>
    <row r="24" spans="1:10" ht="12" customHeight="1">
      <c r="A24" s="412" t="s">
        <v>299</v>
      </c>
      <c r="B24" s="413" t="s">
        <v>280</v>
      </c>
      <c r="C24" s="414">
        <v>0</v>
      </c>
      <c r="D24" s="414">
        <v>0</v>
      </c>
      <c r="E24" s="414">
        <v>0</v>
      </c>
      <c r="F24" s="414" t="s">
        <v>281</v>
      </c>
      <c r="G24" s="414" t="s">
        <v>281</v>
      </c>
      <c r="H24" s="431" t="s">
        <v>281</v>
      </c>
      <c r="I24" s="416" t="s">
        <v>281</v>
      </c>
      <c r="J24" s="412">
        <v>543.79999999999995</v>
      </c>
    </row>
    <row r="25" spans="1:10" ht="12" customHeight="1">
      <c r="A25" s="52" t="s">
        <v>300</v>
      </c>
      <c r="B25" s="53" t="s">
        <v>280</v>
      </c>
      <c r="C25" s="409">
        <v>0</v>
      </c>
      <c r="D25" s="409">
        <v>0</v>
      </c>
      <c r="E25" s="409">
        <v>0</v>
      </c>
      <c r="F25" s="409" t="s">
        <v>281</v>
      </c>
      <c r="G25" s="409" t="s">
        <v>281</v>
      </c>
      <c r="H25" s="432" t="s">
        <v>281</v>
      </c>
      <c r="I25" s="411" t="s">
        <v>281</v>
      </c>
      <c r="J25" s="52">
        <v>442.3</v>
      </c>
    </row>
    <row r="26" spans="1:10" ht="12" customHeight="1">
      <c r="A26" s="412" t="s">
        <v>301</v>
      </c>
      <c r="B26" s="413" t="s">
        <v>280</v>
      </c>
      <c r="C26" s="414">
        <v>0</v>
      </c>
      <c r="D26" s="414">
        <v>0</v>
      </c>
      <c r="E26" s="414">
        <v>0</v>
      </c>
      <c r="F26" s="414" t="s">
        <v>281</v>
      </c>
      <c r="G26" s="414">
        <v>97.7</v>
      </c>
      <c r="H26" s="426">
        <v>171.6</v>
      </c>
      <c r="I26" s="416" t="s">
        <v>281</v>
      </c>
      <c r="J26" s="416" t="s">
        <v>281</v>
      </c>
    </row>
    <row r="27" spans="1:10" ht="12" customHeight="1">
      <c r="A27" s="52" t="s">
        <v>302</v>
      </c>
      <c r="B27" s="53" t="s">
        <v>280</v>
      </c>
      <c r="C27" s="409">
        <v>0</v>
      </c>
      <c r="D27" s="409">
        <v>0</v>
      </c>
      <c r="E27" s="409">
        <v>0</v>
      </c>
      <c r="F27" s="409" t="s">
        <v>281</v>
      </c>
      <c r="G27" s="409" t="s">
        <v>281</v>
      </c>
      <c r="H27" s="433">
        <v>0</v>
      </c>
      <c r="I27" s="410">
        <v>-288</v>
      </c>
      <c r="J27" s="411" t="s">
        <v>281</v>
      </c>
    </row>
    <row r="28" spans="1:10" ht="12" customHeight="1">
      <c r="A28" s="434" t="s">
        <v>303</v>
      </c>
      <c r="B28" s="413" t="s">
        <v>280</v>
      </c>
      <c r="C28" s="416">
        <v>-99.6</v>
      </c>
      <c r="D28" s="416">
        <v>-256.5</v>
      </c>
      <c r="E28" s="416">
        <v>-4.4000000000000004</v>
      </c>
      <c r="F28" s="416">
        <v>-81.3</v>
      </c>
      <c r="G28" s="416">
        <v>-412</v>
      </c>
      <c r="H28" s="426">
        <v>-221.4</v>
      </c>
      <c r="I28" s="415">
        <v>-169.2</v>
      </c>
      <c r="J28" s="412">
        <v>862.9</v>
      </c>
    </row>
    <row r="29" spans="1:10" ht="12" customHeight="1">
      <c r="A29" s="412" t="s">
        <v>264</v>
      </c>
      <c r="B29" s="413" t="s">
        <v>280</v>
      </c>
      <c r="C29" s="414">
        <v>-11.8</v>
      </c>
      <c r="D29" s="414">
        <v>-10.199999999999999</v>
      </c>
      <c r="E29" s="414">
        <v>-0.8</v>
      </c>
      <c r="F29" s="414">
        <v>-39.799999999999997</v>
      </c>
      <c r="G29" s="414">
        <v>4.2</v>
      </c>
      <c r="H29" s="417">
        <v>-3</v>
      </c>
      <c r="I29" s="415">
        <v>-1.4</v>
      </c>
      <c r="J29" s="412">
        <v>90.6</v>
      </c>
    </row>
    <row r="30" spans="1:10" ht="12" customHeight="1" thickBot="1">
      <c r="A30" s="435" t="s">
        <v>304</v>
      </c>
      <c r="B30" s="436" t="s">
        <v>280</v>
      </c>
      <c r="C30" s="502">
        <f>SUM(C16:C29)</f>
        <v>172.99999999999997</v>
      </c>
      <c r="D30" s="437">
        <v>339.59999999999985</v>
      </c>
      <c r="E30" s="437">
        <f>+SUM(E16:E29)</f>
        <v>339.2999999999999</v>
      </c>
      <c r="F30" s="437">
        <f>+SUM(F16:F29)</f>
        <v>334.5999999999998</v>
      </c>
      <c r="G30" s="437">
        <f>SUM(G16:G29)</f>
        <v>437.90000000000003</v>
      </c>
      <c r="H30" s="437">
        <v>45.7</v>
      </c>
      <c r="I30" s="438">
        <v>26.6</v>
      </c>
      <c r="J30" s="435">
        <v>124.9</v>
      </c>
    </row>
    <row r="31" spans="1:10" ht="12" customHeight="1">
      <c r="A31" s="406" t="s">
        <v>305</v>
      </c>
      <c r="B31" s="439"/>
      <c r="C31" s="439"/>
      <c r="D31" s="439"/>
      <c r="E31" s="440"/>
      <c r="F31" s="440"/>
      <c r="G31" s="440"/>
      <c r="H31" s="441"/>
      <c r="I31" s="442"/>
      <c r="J31" s="399"/>
    </row>
    <row r="32" spans="1:10" ht="12" customHeight="1">
      <c r="A32" s="172" t="s">
        <v>306</v>
      </c>
      <c r="B32" s="174" t="s">
        <v>20</v>
      </c>
      <c r="C32" s="170">
        <v>2025</v>
      </c>
      <c r="D32" s="170">
        <v>2024</v>
      </c>
      <c r="E32" s="170">
        <v>2023</v>
      </c>
      <c r="F32" s="170">
        <v>2022</v>
      </c>
      <c r="G32" s="170">
        <v>2021</v>
      </c>
      <c r="H32" s="169">
        <v>2020</v>
      </c>
      <c r="I32" s="170">
        <v>2019</v>
      </c>
      <c r="J32" s="170">
        <v>2018</v>
      </c>
    </row>
    <row r="33" spans="1:10" ht="12" customHeight="1">
      <c r="A33" s="280" t="s">
        <v>307</v>
      </c>
      <c r="B33" s="443" t="s">
        <v>23</v>
      </c>
      <c r="C33" s="545">
        <v>27.2</v>
      </c>
      <c r="D33" s="545">
        <v>26.6</v>
      </c>
      <c r="E33" s="444">
        <v>25.4</v>
      </c>
      <c r="F33" s="444">
        <v>25.3</v>
      </c>
      <c r="G33" s="445">
        <v>26.4</v>
      </c>
      <c r="H33" s="446">
        <v>25.2</v>
      </c>
      <c r="I33" s="446">
        <v>30.8</v>
      </c>
      <c r="J33" s="446">
        <v>30.7</v>
      </c>
    </row>
    <row r="34" spans="1:10" ht="12" customHeight="1">
      <c r="A34" s="412" t="s">
        <v>21</v>
      </c>
      <c r="B34" s="413" t="s">
        <v>23</v>
      </c>
      <c r="C34" s="544">
        <v>16</v>
      </c>
      <c r="D34" s="544">
        <v>15.3</v>
      </c>
      <c r="E34" s="447">
        <v>15.8</v>
      </c>
      <c r="F34" s="447">
        <v>16</v>
      </c>
      <c r="G34" s="448">
        <v>17.399999999999999</v>
      </c>
      <c r="H34" s="449">
        <v>17</v>
      </c>
      <c r="I34" s="449">
        <v>20.2</v>
      </c>
      <c r="J34" s="449">
        <v>20.2</v>
      </c>
    </row>
    <row r="35" spans="1:10" ht="12" customHeight="1">
      <c r="A35" s="52" t="s">
        <v>283</v>
      </c>
      <c r="B35" s="53" t="s">
        <v>23</v>
      </c>
      <c r="C35" s="545">
        <v>15.6</v>
      </c>
      <c r="D35" s="545">
        <v>15.8</v>
      </c>
      <c r="E35" s="444">
        <v>15.8</v>
      </c>
      <c r="F35" s="444">
        <v>16.399999999999999</v>
      </c>
      <c r="G35" s="450">
        <v>17.8</v>
      </c>
      <c r="H35" s="451">
        <v>18.2</v>
      </c>
      <c r="I35" s="451">
        <v>19.899999999999999</v>
      </c>
      <c r="J35" s="451">
        <v>20.100000000000001</v>
      </c>
    </row>
    <row r="36" spans="1:10" ht="12" customHeight="1">
      <c r="A36" s="412" t="s">
        <v>308</v>
      </c>
      <c r="B36" s="413" t="s">
        <v>272</v>
      </c>
      <c r="C36" s="544">
        <v>75.7</v>
      </c>
      <c r="D36" s="544">
        <v>79.3</v>
      </c>
      <c r="E36" s="452">
        <v>75.8</v>
      </c>
      <c r="F36" s="452">
        <v>77.2</v>
      </c>
      <c r="G36" s="448">
        <v>81.400000000000006</v>
      </c>
      <c r="H36" s="449">
        <v>79.900000000000006</v>
      </c>
      <c r="I36" s="449">
        <v>78.8</v>
      </c>
      <c r="J36" s="449">
        <v>78.5</v>
      </c>
    </row>
    <row r="37" spans="1:10" ht="12" customHeight="1">
      <c r="A37" s="52" t="s">
        <v>309</v>
      </c>
      <c r="B37" s="53" t="s">
        <v>310</v>
      </c>
      <c r="C37" s="546">
        <v>149.26883626311783</v>
      </c>
      <c r="D37" s="546">
        <v>185.3</v>
      </c>
      <c r="E37" s="453">
        <v>215.7</v>
      </c>
      <c r="F37" s="453">
        <v>265.8</v>
      </c>
      <c r="G37" s="450">
        <v>137.96597760167785</v>
      </c>
      <c r="H37" s="451">
        <v>90.5</v>
      </c>
      <c r="I37" s="451">
        <v>128.80000000000001</v>
      </c>
      <c r="J37" s="451">
        <v>133.30000000000001</v>
      </c>
    </row>
    <row r="38" spans="1:10" ht="12" customHeight="1">
      <c r="A38" s="412" t="s">
        <v>311</v>
      </c>
      <c r="B38" s="413" t="s">
        <v>310</v>
      </c>
      <c r="C38" s="544">
        <v>132.09540671460229</v>
      </c>
      <c r="D38" s="544">
        <v>149.22243924169396</v>
      </c>
      <c r="E38" s="452">
        <v>156.30000000000001</v>
      </c>
      <c r="F38" s="452">
        <v>141.30000000000001</v>
      </c>
      <c r="G38" s="448">
        <v>92.078049530866906</v>
      </c>
      <c r="H38" s="449">
        <v>76.5</v>
      </c>
      <c r="I38" s="449">
        <v>77.5</v>
      </c>
      <c r="J38" s="449">
        <v>83</v>
      </c>
    </row>
    <row r="39" spans="1:10" ht="12" customHeight="1">
      <c r="A39" s="412" t="s">
        <v>312</v>
      </c>
      <c r="B39" s="413" t="s">
        <v>310</v>
      </c>
      <c r="C39" s="547">
        <v>97.5</v>
      </c>
      <c r="D39" s="547">
        <v>107.4</v>
      </c>
      <c r="E39" s="454">
        <v>107.6</v>
      </c>
      <c r="F39" s="454">
        <v>88.4</v>
      </c>
      <c r="G39" s="448">
        <v>65.7</v>
      </c>
      <c r="H39" s="449">
        <v>55.6</v>
      </c>
      <c r="I39" s="449">
        <v>51.8</v>
      </c>
      <c r="J39" s="449">
        <v>56.4</v>
      </c>
    </row>
    <row r="40" spans="1:10" ht="12" customHeight="1">
      <c r="A40" s="455" t="s">
        <v>313</v>
      </c>
      <c r="B40" s="456" t="s">
        <v>310</v>
      </c>
      <c r="C40" s="547">
        <v>1949.8</v>
      </c>
      <c r="D40" s="547">
        <v>2507.6999999999998</v>
      </c>
      <c r="E40" s="457">
        <v>2890.6</v>
      </c>
      <c r="F40" s="457">
        <v>3571.5</v>
      </c>
      <c r="G40" s="458">
        <v>2148.5</v>
      </c>
      <c r="H40" s="459">
        <v>1462.3</v>
      </c>
      <c r="I40" s="459">
        <v>2215.6999999999998</v>
      </c>
      <c r="J40" s="459">
        <f>1481.8+510.4+235+69.5</f>
        <v>2296.6999999999998</v>
      </c>
    </row>
    <row r="41" spans="1:10" ht="12" customHeight="1">
      <c r="A41" s="418" t="s">
        <v>314</v>
      </c>
      <c r="B41" s="427" t="s">
        <v>310</v>
      </c>
      <c r="C41" s="548">
        <v>2281.5</v>
      </c>
      <c r="D41" s="548">
        <v>2587.3000000000002</v>
      </c>
      <c r="E41" s="460">
        <v>2718.6</v>
      </c>
      <c r="F41" s="460">
        <v>2525.3000000000002</v>
      </c>
      <c r="G41" s="461">
        <v>1846.1</v>
      </c>
      <c r="H41" s="462">
        <v>1610.2</v>
      </c>
      <c r="I41" s="462">
        <v>1758.9</v>
      </c>
      <c r="J41" s="462">
        <v>1888.1</v>
      </c>
    </row>
    <row r="42" spans="1:10" ht="12" customHeight="1">
      <c r="A42" s="463" t="s">
        <v>315</v>
      </c>
      <c r="B42" s="464" t="s">
        <v>310</v>
      </c>
      <c r="C42" s="549">
        <v>-432.1</v>
      </c>
      <c r="D42" s="549">
        <v>-108.9</v>
      </c>
      <c r="E42" s="465">
        <v>156.1</v>
      </c>
      <c r="F42" s="465">
        <v>771.7</v>
      </c>
      <c r="G42" s="466">
        <v>189.4</v>
      </c>
      <c r="H42" s="467">
        <v>-226.5</v>
      </c>
      <c r="I42" s="468">
        <v>305.5</v>
      </c>
      <c r="J42" s="468">
        <v>168.9</v>
      </c>
    </row>
    <row r="43" spans="1:10" ht="12" customHeight="1">
      <c r="A43" s="469" t="s">
        <v>316</v>
      </c>
      <c r="B43" s="413" t="s">
        <v>310</v>
      </c>
      <c r="C43" s="544">
        <v>185.4</v>
      </c>
      <c r="D43" s="544">
        <v>187.4</v>
      </c>
      <c r="E43" s="452">
        <v>160.69999999999999</v>
      </c>
      <c r="F43" s="452">
        <v>167</v>
      </c>
      <c r="G43" s="414">
        <v>177.9</v>
      </c>
      <c r="H43" s="470">
        <v>191.2</v>
      </c>
      <c r="I43" s="449">
        <v>176.5</v>
      </c>
      <c r="J43" s="449">
        <v>118.5</v>
      </c>
    </row>
    <row r="44" spans="1:10" ht="12" customHeight="1">
      <c r="A44" s="471" t="s">
        <v>317</v>
      </c>
      <c r="B44" s="53" t="s">
        <v>310</v>
      </c>
      <c r="C44" s="547">
        <v>99.3</v>
      </c>
      <c r="D44" s="547">
        <v>58.9</v>
      </c>
      <c r="E44" s="454">
        <v>56.8</v>
      </c>
      <c r="F44" s="454">
        <v>67.599999999999994</v>
      </c>
      <c r="G44" s="409">
        <v>68.099999999999994</v>
      </c>
      <c r="H44" s="451">
        <v>50.6</v>
      </c>
      <c r="I44" s="451">
        <v>-39.299999999999997</v>
      </c>
      <c r="J44" s="451">
        <v>63.6</v>
      </c>
    </row>
    <row r="45" spans="1:10" ht="12" customHeight="1">
      <c r="A45" s="469" t="s">
        <v>318</v>
      </c>
      <c r="B45" s="413" t="s">
        <v>310</v>
      </c>
      <c r="C45" s="547">
        <v>-0.6</v>
      </c>
      <c r="D45" s="547">
        <v>-12.3</v>
      </c>
      <c r="E45" s="454">
        <v>-2.9</v>
      </c>
      <c r="F45" s="454">
        <v>-32.200000000000003</v>
      </c>
      <c r="G45" s="416">
        <v>7</v>
      </c>
      <c r="H45" s="449">
        <v>1.1000000000000001</v>
      </c>
      <c r="I45" s="449">
        <v>-1.7</v>
      </c>
      <c r="J45" s="449">
        <v>9</v>
      </c>
    </row>
    <row r="46" spans="1:10" ht="12" customHeight="1">
      <c r="A46" s="471" t="s">
        <v>319</v>
      </c>
      <c r="B46" s="53" t="s">
        <v>310</v>
      </c>
      <c r="C46" s="547">
        <v>19.3</v>
      </c>
      <c r="D46" s="547">
        <v>14.7</v>
      </c>
      <c r="E46" s="454">
        <v>1.4</v>
      </c>
      <c r="F46" s="454">
        <v>5.3</v>
      </c>
      <c r="G46" s="409">
        <v>8.5</v>
      </c>
      <c r="H46" s="425" t="s">
        <v>281</v>
      </c>
      <c r="I46" s="472" t="s">
        <v>281</v>
      </c>
      <c r="J46" s="451">
        <v>54.2</v>
      </c>
    </row>
    <row r="47" spans="1:10" ht="12" customHeight="1">
      <c r="A47" s="469" t="s">
        <v>320</v>
      </c>
      <c r="B47" s="413" t="s">
        <v>310</v>
      </c>
      <c r="C47" s="547">
        <v>-12.4</v>
      </c>
      <c r="D47" s="547">
        <v>-40.299999999999997</v>
      </c>
      <c r="E47" s="454">
        <v>-32.299999999999997</v>
      </c>
      <c r="F47" s="454">
        <v>231.6</v>
      </c>
      <c r="G47" s="414">
        <v>53.1</v>
      </c>
      <c r="H47" s="449">
        <v>-60</v>
      </c>
      <c r="I47" s="449">
        <v>114.6</v>
      </c>
      <c r="J47" s="449">
        <v>184.4</v>
      </c>
    </row>
    <row r="48" spans="1:10" ht="12" customHeight="1">
      <c r="A48" s="235" t="s">
        <v>321</v>
      </c>
      <c r="B48" s="427" t="s">
        <v>310</v>
      </c>
      <c r="C48" s="550"/>
      <c r="D48" s="550">
        <v>10.6</v>
      </c>
      <c r="E48" s="473">
        <v>0</v>
      </c>
      <c r="F48" s="474" t="s">
        <v>281</v>
      </c>
      <c r="G48" s="429">
        <v>0</v>
      </c>
      <c r="H48" s="235">
        <v>78.099999999999994</v>
      </c>
      <c r="I48" s="475" t="s">
        <v>281</v>
      </c>
      <c r="J48" s="475" t="s">
        <v>281</v>
      </c>
    </row>
    <row r="49" spans="1:14" ht="12" customHeight="1">
      <c r="A49" s="539" t="s">
        <v>322</v>
      </c>
      <c r="B49" s="427" t="s">
        <v>310</v>
      </c>
      <c r="C49" s="551"/>
      <c r="D49" s="551"/>
      <c r="E49" s="476">
        <v>41.3</v>
      </c>
      <c r="F49" s="476"/>
      <c r="G49" s="476"/>
      <c r="H49" s="476"/>
      <c r="I49" s="476"/>
      <c r="J49" s="476"/>
    </row>
    <row r="50" spans="1:14" ht="12" customHeight="1">
      <c r="A50" s="603" t="s">
        <v>264</v>
      </c>
      <c r="B50" s="604" t="s">
        <v>310</v>
      </c>
      <c r="C50" s="605">
        <v>0.9</v>
      </c>
      <c r="D50" s="551"/>
      <c r="E50" s="476"/>
      <c r="F50" s="476"/>
      <c r="G50" s="602"/>
      <c r="H50" s="602"/>
      <c r="I50" s="602"/>
      <c r="J50" s="602"/>
    </row>
    <row r="51" spans="1:14" ht="12" customHeight="1">
      <c r="A51" s="477" t="s">
        <v>323</v>
      </c>
      <c r="B51" s="478" t="s">
        <v>310</v>
      </c>
      <c r="C51" s="550"/>
      <c r="D51" s="550">
        <v>0.7</v>
      </c>
      <c r="E51" s="473">
        <v>0</v>
      </c>
      <c r="F51" s="474" t="s">
        <v>281</v>
      </c>
      <c r="G51" s="479">
        <v>2.2999999999999998</v>
      </c>
      <c r="H51" s="425"/>
      <c r="I51" s="425" t="s">
        <v>281</v>
      </c>
      <c r="J51" s="425" t="s">
        <v>281</v>
      </c>
      <c r="L51" s="233"/>
    </row>
    <row r="52" spans="1:14" ht="12" customHeight="1">
      <c r="A52" s="480" t="s">
        <v>324</v>
      </c>
      <c r="B52" s="478" t="s">
        <v>310</v>
      </c>
      <c r="C52" s="550">
        <v>-8.8000000000000007</v>
      </c>
      <c r="D52" s="550">
        <v>4.5</v>
      </c>
      <c r="E52" s="474">
        <v>4.8</v>
      </c>
      <c r="F52" s="474">
        <v>0.8</v>
      </c>
      <c r="G52" s="481">
        <v>2.7</v>
      </c>
      <c r="H52" s="482">
        <v>10</v>
      </c>
      <c r="I52" s="470" t="s">
        <v>281</v>
      </c>
      <c r="J52" s="470" t="s">
        <v>281</v>
      </c>
      <c r="L52" s="233"/>
    </row>
    <row r="53" spans="1:14" ht="12" customHeight="1">
      <c r="A53" s="480" t="s">
        <v>325</v>
      </c>
      <c r="B53" s="478" t="s">
        <v>310</v>
      </c>
      <c r="C53" s="550"/>
      <c r="D53" s="550"/>
      <c r="E53" s="473">
        <v>0</v>
      </c>
      <c r="F53" s="474" t="s">
        <v>281</v>
      </c>
      <c r="G53" s="481">
        <v>-14.8</v>
      </c>
      <c r="H53" s="425" t="s">
        <v>281</v>
      </c>
      <c r="I53" s="425" t="s">
        <v>281</v>
      </c>
      <c r="J53" s="425" t="s">
        <v>281</v>
      </c>
      <c r="L53" s="233"/>
    </row>
    <row r="54" spans="1:14" s="166" customFormat="1" ht="25.5" customHeight="1">
      <c r="A54" s="480" t="s">
        <v>326</v>
      </c>
      <c r="B54" s="483" t="s">
        <v>310</v>
      </c>
      <c r="C54" s="579">
        <v>4.8</v>
      </c>
      <c r="D54" s="579">
        <v>-0.2</v>
      </c>
      <c r="E54" s="580">
        <v>-4.2</v>
      </c>
      <c r="F54" s="580">
        <v>3.8</v>
      </c>
      <c r="G54" s="481">
        <v>-8</v>
      </c>
      <c r="H54" s="484">
        <v>9.3000000000000007</v>
      </c>
      <c r="I54" s="470" t="s">
        <v>281</v>
      </c>
      <c r="J54" s="470" t="s">
        <v>281</v>
      </c>
      <c r="L54" s="233"/>
    </row>
    <row r="55" spans="1:14" ht="12" customHeight="1">
      <c r="A55" s="485" t="s">
        <v>327</v>
      </c>
      <c r="B55" s="486" t="s">
        <v>310</v>
      </c>
      <c r="C55" s="552">
        <v>-144.20000000000002</v>
      </c>
      <c r="D55" s="552">
        <v>115.10000000000001</v>
      </c>
      <c r="E55" s="487">
        <f>+SUM(E42:E54)</f>
        <v>381.7</v>
      </c>
      <c r="F55" s="487">
        <f>+SUM(F42:F54)</f>
        <v>1215.5999999999999</v>
      </c>
      <c r="G55" s="487">
        <v>486.1</v>
      </c>
      <c r="H55" s="488">
        <v>53.8</v>
      </c>
      <c r="I55" s="488">
        <v>634.20000000000005</v>
      </c>
      <c r="J55" s="488">
        <v>595.29999999999995</v>
      </c>
    </row>
    <row r="56" spans="1:14" ht="12" customHeight="1">
      <c r="A56" s="52" t="s">
        <v>328</v>
      </c>
      <c r="B56" s="53" t="s">
        <v>310</v>
      </c>
      <c r="C56" s="546">
        <v>-80</v>
      </c>
      <c r="D56" s="546">
        <v>74</v>
      </c>
      <c r="E56" s="453">
        <v>268.3</v>
      </c>
      <c r="F56" s="453">
        <v>926.6</v>
      </c>
      <c r="G56" s="450">
        <v>442</v>
      </c>
      <c r="H56" s="489">
        <v>-3</v>
      </c>
      <c r="I56" s="451">
        <v>477.4</v>
      </c>
      <c r="J56" s="451">
        <v>364.8</v>
      </c>
    </row>
    <row r="57" spans="1:14" ht="12" customHeight="1">
      <c r="A57" s="412" t="s">
        <v>329</v>
      </c>
      <c r="B57" s="413" t="s">
        <v>310</v>
      </c>
      <c r="C57" s="452">
        <v>-524.1</v>
      </c>
      <c r="D57" s="452">
        <v>-85.1</v>
      </c>
      <c r="E57" s="452">
        <v>96.7</v>
      </c>
      <c r="F57" s="452">
        <v>92.1</v>
      </c>
      <c r="G57" s="490">
        <v>122.9</v>
      </c>
      <c r="H57" s="491">
        <v>281.89999999999998</v>
      </c>
      <c r="I57" s="449">
        <v>303.39999999999998</v>
      </c>
      <c r="J57" s="470" t="s">
        <v>330</v>
      </c>
    </row>
    <row r="58" spans="1:14" s="166" customFormat="1" ht="12" customHeight="1" thickBot="1">
      <c r="A58" s="435" t="s">
        <v>331</v>
      </c>
      <c r="B58" s="436" t="s">
        <v>272</v>
      </c>
      <c r="C58" s="492">
        <v>2.7810566898187488E-2</v>
      </c>
      <c r="D58" s="492">
        <v>0.27018566928078291</v>
      </c>
      <c r="E58" s="492">
        <v>-0.26</v>
      </c>
      <c r="F58" s="492">
        <v>0.23100000000000001</v>
      </c>
      <c r="G58" s="493">
        <v>0.21895474693330585</v>
      </c>
      <c r="H58" s="494">
        <v>0.20899999999999999</v>
      </c>
      <c r="I58" s="494">
        <v>0.27300000000000002</v>
      </c>
      <c r="J58" s="494">
        <v>0.39600000000000002</v>
      </c>
    </row>
    <row r="59" spans="1:14" ht="12" customHeight="1">
      <c r="A59" s="276"/>
      <c r="B59" s="276"/>
      <c r="C59" s="276"/>
      <c r="D59" s="276"/>
      <c r="E59" s="276"/>
      <c r="F59" s="276"/>
      <c r="G59" s="276"/>
      <c r="H59" s="495"/>
      <c r="I59" s="495"/>
      <c r="J59" s="495"/>
    </row>
    <row r="60" spans="1:14" ht="12" customHeight="1">
      <c r="A60" s="406" t="s">
        <v>19</v>
      </c>
      <c r="B60" s="405" t="s">
        <v>20</v>
      </c>
      <c r="C60" s="407">
        <v>2025</v>
      </c>
      <c r="D60" s="407">
        <v>2024</v>
      </c>
      <c r="E60" s="407">
        <v>2023</v>
      </c>
      <c r="F60" s="407">
        <v>2022</v>
      </c>
      <c r="G60" s="407">
        <v>2021</v>
      </c>
      <c r="H60" s="408">
        <v>2020</v>
      </c>
      <c r="I60" s="408">
        <v>2019</v>
      </c>
      <c r="J60" s="406">
        <v>2018</v>
      </c>
      <c r="L60" s="35"/>
      <c r="M60" s="35"/>
      <c r="N60" s="35"/>
    </row>
    <row r="61" spans="1:14" ht="12" customHeight="1">
      <c r="A61" s="406" t="s">
        <v>332</v>
      </c>
      <c r="B61" s="405"/>
      <c r="C61" s="407"/>
      <c r="D61" s="407"/>
      <c r="E61" s="407"/>
      <c r="F61" s="407"/>
      <c r="G61" s="407"/>
      <c r="H61" s="408"/>
      <c r="I61" s="408"/>
      <c r="J61" s="406"/>
      <c r="L61" s="35"/>
      <c r="M61" s="35"/>
      <c r="N61" s="35"/>
    </row>
    <row r="62" spans="1:14" ht="12" customHeight="1">
      <c r="A62" s="455" t="s">
        <v>333</v>
      </c>
      <c r="B62" s="456" t="s">
        <v>272</v>
      </c>
      <c r="C62" s="581">
        <v>75.7</v>
      </c>
      <c r="D62" s="581">
        <v>79.3</v>
      </c>
      <c r="E62" s="581">
        <v>75.8</v>
      </c>
      <c r="F62" s="454">
        <v>77.2</v>
      </c>
      <c r="G62" s="458">
        <v>81.400000000000006</v>
      </c>
      <c r="H62" s="234">
        <v>79.900000000000006</v>
      </c>
      <c r="I62" s="496">
        <v>78.8</v>
      </c>
      <c r="J62" s="455">
        <v>78.5</v>
      </c>
      <c r="L62" s="35"/>
      <c r="M62" s="35"/>
      <c r="N62" s="35"/>
    </row>
    <row r="63" spans="1:14" ht="12" customHeight="1" thickBot="1">
      <c r="A63" s="435" t="s">
        <v>334</v>
      </c>
      <c r="B63" s="436" t="s">
        <v>272</v>
      </c>
      <c r="C63" s="497">
        <v>24.299999999999997</v>
      </c>
      <c r="D63" s="497">
        <v>20.700000000000003</v>
      </c>
      <c r="E63" s="497">
        <v>24.2</v>
      </c>
      <c r="F63" s="497">
        <v>22.8</v>
      </c>
      <c r="G63" s="498">
        <v>18.599999999999994</v>
      </c>
      <c r="H63" s="437">
        <v>20.100000000000001</v>
      </c>
      <c r="I63" s="438">
        <v>21.2</v>
      </c>
      <c r="J63" s="435">
        <v>21.5</v>
      </c>
    </row>
    <row r="64" spans="1:14" ht="12" customHeight="1">
      <c r="A64" s="406" t="s">
        <v>335</v>
      </c>
      <c r="B64" s="405"/>
      <c r="C64" s="499"/>
      <c r="D64" s="499"/>
      <c r="E64" s="499"/>
      <c r="F64" s="499"/>
      <c r="G64" s="499"/>
      <c r="H64" s="408"/>
      <c r="I64" s="408"/>
      <c r="J64" s="406"/>
      <c r="L64" s="35"/>
      <c r="M64" s="35"/>
      <c r="N64" s="35"/>
    </row>
    <row r="65" spans="1:14" ht="12" customHeight="1">
      <c r="A65" s="455" t="s">
        <v>333</v>
      </c>
      <c r="B65" s="456" t="s">
        <v>272</v>
      </c>
      <c r="C65" s="454">
        <v>91.6</v>
      </c>
      <c r="D65" s="454">
        <v>95.2</v>
      </c>
      <c r="E65" s="454">
        <v>91.4</v>
      </c>
      <c r="F65" s="454">
        <v>95.3</v>
      </c>
      <c r="G65" s="458">
        <v>95</v>
      </c>
      <c r="H65" s="500">
        <v>92</v>
      </c>
      <c r="I65" s="496">
        <v>93</v>
      </c>
      <c r="J65" s="501" t="s">
        <v>281</v>
      </c>
      <c r="L65" s="35"/>
      <c r="M65" s="35"/>
      <c r="N65" s="35"/>
    </row>
    <row r="66" spans="1:14" ht="12" customHeight="1" thickBot="1">
      <c r="A66" s="435" t="s">
        <v>334</v>
      </c>
      <c r="B66" s="436" t="s">
        <v>272</v>
      </c>
      <c r="C66" s="497">
        <v>8.4000000000000057</v>
      </c>
      <c r="D66" s="497">
        <v>4.7999999999999972</v>
      </c>
      <c r="E66" s="497">
        <v>8.6</v>
      </c>
      <c r="F66" s="497">
        <v>4.7</v>
      </c>
      <c r="G66" s="498">
        <v>5</v>
      </c>
      <c r="H66" s="502">
        <v>8</v>
      </c>
      <c r="I66" s="438">
        <v>7</v>
      </c>
      <c r="J66" s="503" t="s">
        <v>281</v>
      </c>
    </row>
    <row r="67" spans="1:14" ht="12" customHeight="1">
      <c r="A67" s="406" t="s">
        <v>336</v>
      </c>
      <c r="B67" s="405"/>
      <c r="C67" s="499"/>
      <c r="D67" s="499"/>
      <c r="E67" s="499"/>
      <c r="F67" s="499"/>
      <c r="G67" s="499"/>
      <c r="H67" s="408"/>
      <c r="I67" s="408"/>
      <c r="J67" s="406"/>
    </row>
    <row r="68" spans="1:14" ht="12" customHeight="1">
      <c r="A68" s="455" t="s">
        <v>337</v>
      </c>
      <c r="B68" s="456" t="s">
        <v>272</v>
      </c>
      <c r="C68" s="454">
        <v>71</v>
      </c>
      <c r="D68" s="454">
        <v>69.599999999999994</v>
      </c>
      <c r="E68" s="454">
        <v>72.3</v>
      </c>
      <c r="F68" s="454">
        <v>65.900000000000006</v>
      </c>
      <c r="G68" s="458">
        <v>75</v>
      </c>
      <c r="H68" s="500">
        <v>75</v>
      </c>
      <c r="I68" s="496">
        <v>75.900000000000006</v>
      </c>
      <c r="J68" s="455">
        <v>72.5</v>
      </c>
    </row>
    <row r="69" spans="1:14" ht="12" customHeight="1" thickBot="1">
      <c r="A69" s="435" t="s">
        <v>338</v>
      </c>
      <c r="B69" s="436" t="s">
        <v>272</v>
      </c>
      <c r="C69" s="497">
        <v>29</v>
      </c>
      <c r="D69" s="497">
        <v>30.400000000000006</v>
      </c>
      <c r="E69" s="497">
        <v>27.7</v>
      </c>
      <c r="F69" s="497">
        <v>34.1</v>
      </c>
      <c r="G69" s="498">
        <v>25</v>
      </c>
      <c r="H69" s="502">
        <v>25</v>
      </c>
      <c r="I69" s="438">
        <v>24.1</v>
      </c>
      <c r="J69" s="435">
        <v>27.5</v>
      </c>
    </row>
    <row r="70" spans="1:14" ht="12" customHeight="1">
      <c r="A70" s="406" t="s">
        <v>339</v>
      </c>
      <c r="B70" s="405"/>
      <c r="C70" s="499"/>
      <c r="D70" s="499"/>
      <c r="E70" s="499"/>
      <c r="F70" s="499"/>
      <c r="G70" s="499"/>
      <c r="H70" s="408"/>
      <c r="I70" s="408"/>
      <c r="J70" s="408"/>
    </row>
    <row r="71" spans="1:14" ht="12" customHeight="1">
      <c r="A71" s="52" t="s">
        <v>340</v>
      </c>
      <c r="B71" s="53" t="s">
        <v>341</v>
      </c>
      <c r="C71" s="536">
        <v>149.30000000000001</v>
      </c>
      <c r="D71" s="536">
        <v>203.9</v>
      </c>
      <c r="E71" s="536">
        <v>230.2</v>
      </c>
      <c r="F71" s="536">
        <v>303.10000000000002</v>
      </c>
      <c r="G71" s="450">
        <v>143.1</v>
      </c>
      <c r="H71" s="58">
        <v>94.4</v>
      </c>
      <c r="I71" s="451">
        <v>140.4</v>
      </c>
      <c r="J71" s="451">
        <v>154.6</v>
      </c>
    </row>
    <row r="72" spans="1:14" ht="12" customHeight="1">
      <c r="A72" s="412" t="s">
        <v>342</v>
      </c>
      <c r="B72" s="413" t="s">
        <v>341</v>
      </c>
      <c r="C72" s="453">
        <v>149.19999999999999</v>
      </c>
      <c r="D72" s="453">
        <v>160.1</v>
      </c>
      <c r="E72" s="453">
        <v>196.9</v>
      </c>
      <c r="F72" s="453">
        <v>226.5</v>
      </c>
      <c r="G72" s="448">
        <v>131.19999999999999</v>
      </c>
      <c r="H72" s="79">
        <v>84.4</v>
      </c>
      <c r="I72" s="449">
        <v>111.3</v>
      </c>
      <c r="J72" s="449">
        <v>107</v>
      </c>
    </row>
    <row r="73" spans="1:14" ht="12" customHeight="1" thickBot="1">
      <c r="A73" s="435" t="s">
        <v>35</v>
      </c>
      <c r="B73" s="436" t="s">
        <v>341</v>
      </c>
      <c r="C73" s="626">
        <v>149.26883626311783</v>
      </c>
      <c r="D73" s="504">
        <v>185.3</v>
      </c>
      <c r="E73" s="504">
        <v>215.7</v>
      </c>
      <c r="F73" s="504">
        <v>265.8</v>
      </c>
      <c r="G73" s="498">
        <v>137.96597760167785</v>
      </c>
      <c r="H73" s="437">
        <v>90.5</v>
      </c>
      <c r="I73" s="505">
        <v>128.80000000000001</v>
      </c>
      <c r="J73" s="505">
        <v>133.30000000000001</v>
      </c>
    </row>
    <row r="74" spans="1:14" ht="12" customHeight="1">
      <c r="A74" s="406" t="s">
        <v>343</v>
      </c>
      <c r="B74" s="405"/>
      <c r="C74" s="499"/>
      <c r="D74" s="499"/>
      <c r="E74" s="499"/>
      <c r="F74" s="499"/>
      <c r="G74" s="499"/>
      <c r="H74" s="506"/>
      <c r="I74" s="408"/>
      <c r="J74" s="406"/>
    </row>
    <row r="75" spans="1:14" ht="12" customHeight="1">
      <c r="A75" s="52" t="s">
        <v>340</v>
      </c>
      <c r="B75" s="53" t="s">
        <v>23</v>
      </c>
      <c r="C75" s="447">
        <v>10.6</v>
      </c>
      <c r="D75" s="447">
        <v>9.6999999999999993</v>
      </c>
      <c r="E75" s="447">
        <v>10</v>
      </c>
      <c r="F75" s="452">
        <v>9.8000000000000007</v>
      </c>
      <c r="G75" s="450">
        <v>11.1</v>
      </c>
      <c r="H75" s="433">
        <v>12</v>
      </c>
      <c r="I75" s="410">
        <v>12.5</v>
      </c>
      <c r="J75" s="52">
        <v>12.1</v>
      </c>
    </row>
    <row r="76" spans="1:14" ht="12" customHeight="1">
      <c r="A76" s="412" t="s">
        <v>342</v>
      </c>
      <c r="B76" s="413" t="s">
        <v>23</v>
      </c>
      <c r="C76" s="454">
        <v>5.4</v>
      </c>
      <c r="D76" s="454">
        <v>5.7</v>
      </c>
      <c r="E76" s="454">
        <v>5.8</v>
      </c>
      <c r="F76" s="454">
        <v>6.2</v>
      </c>
      <c r="G76" s="448">
        <v>6.2999999999999989</v>
      </c>
      <c r="H76" s="507">
        <v>5</v>
      </c>
      <c r="I76" s="415">
        <v>7.7</v>
      </c>
      <c r="J76" s="412">
        <v>8.1</v>
      </c>
    </row>
    <row r="77" spans="1:14" ht="12" customHeight="1" thickBot="1">
      <c r="A77" s="435" t="s">
        <v>35</v>
      </c>
      <c r="B77" s="436" t="s">
        <v>23</v>
      </c>
      <c r="C77" s="508">
        <v>16</v>
      </c>
      <c r="D77" s="508">
        <v>15.3</v>
      </c>
      <c r="E77" s="508">
        <v>15.8</v>
      </c>
      <c r="F77" s="508">
        <v>16</v>
      </c>
      <c r="G77" s="508">
        <v>17.399999999999999</v>
      </c>
      <c r="H77" s="508">
        <v>17</v>
      </c>
      <c r="I77" s="508">
        <v>20.2</v>
      </c>
      <c r="J77" s="508">
        <v>20.2</v>
      </c>
    </row>
    <row r="78" spans="1:14" ht="12" customHeight="1">
      <c r="A78" s="172" t="s">
        <v>344</v>
      </c>
      <c r="B78" s="174"/>
      <c r="C78" s="509" t="s">
        <v>345</v>
      </c>
      <c r="D78" s="509" t="s">
        <v>345</v>
      </c>
      <c r="E78" s="509" t="s">
        <v>345</v>
      </c>
      <c r="F78" s="509" t="s">
        <v>345</v>
      </c>
      <c r="G78" s="510"/>
      <c r="H78" s="169"/>
      <c r="I78" s="170"/>
      <c r="J78" s="170"/>
    </row>
    <row r="79" spans="1:14" ht="12" customHeight="1">
      <c r="A79" s="455" t="s">
        <v>346</v>
      </c>
      <c r="B79" s="456" t="s">
        <v>272</v>
      </c>
      <c r="C79" s="454">
        <v>66.3</v>
      </c>
      <c r="D79" s="454">
        <v>63.1</v>
      </c>
      <c r="E79" s="454">
        <v>63.5</v>
      </c>
      <c r="F79" s="454">
        <v>61.5</v>
      </c>
      <c r="G79" s="458">
        <v>64</v>
      </c>
      <c r="H79" s="496">
        <v>70</v>
      </c>
      <c r="I79" s="496">
        <v>62</v>
      </c>
      <c r="J79" s="496">
        <v>60</v>
      </c>
    </row>
    <row r="80" spans="1:14" ht="12" customHeight="1" thickBot="1">
      <c r="A80" s="435" t="s">
        <v>347</v>
      </c>
      <c r="B80" s="436" t="s">
        <v>272</v>
      </c>
      <c r="C80" s="497">
        <f>100-C79</f>
        <v>33.700000000000003</v>
      </c>
      <c r="D80" s="497">
        <v>36.9</v>
      </c>
      <c r="E80" s="497">
        <v>36.5</v>
      </c>
      <c r="F80" s="497">
        <v>38.5</v>
      </c>
      <c r="G80" s="498">
        <v>36</v>
      </c>
      <c r="H80" s="438">
        <v>30</v>
      </c>
      <c r="I80" s="438">
        <v>38</v>
      </c>
      <c r="J80" s="438">
        <v>40</v>
      </c>
    </row>
    <row r="81" spans="1:14" ht="12" customHeight="1">
      <c r="A81" s="406" t="s">
        <v>348</v>
      </c>
      <c r="B81" s="405"/>
      <c r="C81" s="511" t="s">
        <v>345</v>
      </c>
      <c r="D81" s="511" t="s">
        <v>345</v>
      </c>
      <c r="E81" s="511" t="s">
        <v>345</v>
      </c>
      <c r="F81" s="511" t="s">
        <v>345</v>
      </c>
      <c r="G81" s="499"/>
      <c r="H81" s="408"/>
      <c r="I81" s="408"/>
      <c r="J81" s="406"/>
      <c r="L81" s="35"/>
      <c r="M81" s="35"/>
      <c r="N81" s="35"/>
    </row>
    <row r="82" spans="1:14" ht="12" customHeight="1">
      <c r="A82" s="52" t="s">
        <v>340</v>
      </c>
      <c r="B82" s="53" t="s">
        <v>23</v>
      </c>
      <c r="C82" s="512">
        <v>10.299999999999999</v>
      </c>
      <c r="D82" s="512">
        <v>10.199999999999999</v>
      </c>
      <c r="E82" s="512">
        <v>9.9</v>
      </c>
      <c r="F82" s="512">
        <v>10</v>
      </c>
      <c r="G82" s="450">
        <v>11.3</v>
      </c>
      <c r="H82" s="58">
        <v>12.4</v>
      </c>
      <c r="I82" s="410">
        <v>12.8</v>
      </c>
      <c r="J82" s="410">
        <v>12</v>
      </c>
      <c r="L82" s="35"/>
      <c r="M82" s="35"/>
      <c r="N82" s="35"/>
    </row>
    <row r="83" spans="1:14" ht="12" customHeight="1">
      <c r="A83" s="412" t="s">
        <v>342</v>
      </c>
      <c r="B83" s="413" t="s">
        <v>23</v>
      </c>
      <c r="C83" s="452">
        <v>5.3</v>
      </c>
      <c r="D83" s="452">
        <v>5.6</v>
      </c>
      <c r="E83" s="452">
        <v>5.9</v>
      </c>
      <c r="F83" s="452">
        <v>6.4</v>
      </c>
      <c r="G83" s="448">
        <v>6.4</v>
      </c>
      <c r="H83" s="79">
        <v>5.8</v>
      </c>
      <c r="I83" s="415">
        <v>7.1</v>
      </c>
      <c r="J83" s="412">
        <v>8.1999999999999993</v>
      </c>
      <c r="L83" s="35"/>
      <c r="M83" s="35"/>
      <c r="N83" s="35"/>
    </row>
    <row r="84" spans="1:14" ht="12" customHeight="1" thickBot="1">
      <c r="A84" s="435" t="s">
        <v>35</v>
      </c>
      <c r="B84" s="436" t="s">
        <v>23</v>
      </c>
      <c r="C84" s="508">
        <v>15.599999999999998</v>
      </c>
      <c r="D84" s="508">
        <v>15.8</v>
      </c>
      <c r="E84" s="508">
        <v>15.8</v>
      </c>
      <c r="F84" s="508">
        <v>16.399999999999999</v>
      </c>
      <c r="G84" s="540">
        <v>17.8</v>
      </c>
      <c r="H84" s="508">
        <v>18.2</v>
      </c>
      <c r="I84" s="508">
        <v>19.899999999999999</v>
      </c>
      <c r="J84" s="508">
        <v>20.2</v>
      </c>
      <c r="L84" s="35"/>
      <c r="M84" s="35"/>
      <c r="N84" s="35"/>
    </row>
    <row r="85" spans="1:14" ht="12" customHeight="1">
      <c r="A85" s="406" t="s">
        <v>349</v>
      </c>
      <c r="B85" s="405"/>
      <c r="C85" s="511" t="s">
        <v>345</v>
      </c>
      <c r="D85" s="511" t="s">
        <v>345</v>
      </c>
      <c r="E85" s="511" t="s">
        <v>345</v>
      </c>
      <c r="F85" s="511" t="s">
        <v>345</v>
      </c>
      <c r="G85" s="499"/>
      <c r="H85" s="408"/>
      <c r="I85" s="408"/>
      <c r="J85" s="408"/>
      <c r="L85" s="35"/>
      <c r="M85" s="35"/>
      <c r="N85" s="35"/>
    </row>
    <row r="86" spans="1:14" ht="12" customHeight="1">
      <c r="A86" s="52" t="s">
        <v>340</v>
      </c>
      <c r="B86" s="53" t="s">
        <v>280</v>
      </c>
      <c r="C86" s="513">
        <v>1185.3</v>
      </c>
      <c r="D86" s="513">
        <v>1595</v>
      </c>
      <c r="E86" s="513">
        <v>1681.5</v>
      </c>
      <c r="F86" s="513">
        <v>2116.5</v>
      </c>
      <c r="G86" s="450">
        <v>1315.9</v>
      </c>
      <c r="H86" s="58">
        <v>976.4</v>
      </c>
      <c r="I86" s="451">
        <v>1466</v>
      </c>
      <c r="J86" s="451">
        <v>1482</v>
      </c>
      <c r="L86" s="35"/>
      <c r="M86" s="35"/>
      <c r="N86" s="35"/>
    </row>
    <row r="87" spans="1:14" ht="12" customHeight="1">
      <c r="A87" s="412" t="s">
        <v>342</v>
      </c>
      <c r="B87" s="413" t="s">
        <v>280</v>
      </c>
      <c r="C87" s="514">
        <v>764.5</v>
      </c>
      <c r="D87" s="514">
        <v>912.7</v>
      </c>
      <c r="E87" s="514">
        <v>1209.0999999999999</v>
      </c>
      <c r="F87" s="514">
        <v>1455</v>
      </c>
      <c r="G87" s="448">
        <v>832.6</v>
      </c>
      <c r="H87" s="79">
        <v>485.9</v>
      </c>
      <c r="I87" s="449">
        <v>749.7</v>
      </c>
      <c r="J87" s="449">
        <v>815</v>
      </c>
      <c r="L87" s="35"/>
      <c r="M87" s="35"/>
      <c r="N87" s="35"/>
    </row>
    <row r="88" spans="1:14" ht="12" customHeight="1">
      <c r="A88" s="52" t="s">
        <v>35</v>
      </c>
      <c r="B88" s="53" t="s">
        <v>280</v>
      </c>
      <c r="C88" s="513">
        <v>1949.8</v>
      </c>
      <c r="D88" s="513">
        <v>2507.6999999999998</v>
      </c>
      <c r="E88" s="513">
        <v>2890.6</v>
      </c>
      <c r="F88" s="513">
        <v>3571.5</v>
      </c>
      <c r="G88" s="450">
        <v>2148.5</v>
      </c>
      <c r="H88" s="515">
        <v>1462.3</v>
      </c>
      <c r="I88" s="451">
        <v>2215.6999999999998</v>
      </c>
      <c r="J88" s="451">
        <v>2297</v>
      </c>
      <c r="L88" s="35"/>
      <c r="M88" s="35"/>
      <c r="N88" s="35"/>
    </row>
    <row r="89" spans="1:14" ht="12" customHeight="1">
      <c r="A89" s="172" t="s">
        <v>350</v>
      </c>
      <c r="B89" s="174"/>
      <c r="C89" s="509" t="s">
        <v>345</v>
      </c>
      <c r="D89" s="509" t="s">
        <v>345</v>
      </c>
      <c r="E89" s="509" t="s">
        <v>345</v>
      </c>
      <c r="F89" s="509" t="s">
        <v>345</v>
      </c>
      <c r="G89" s="510"/>
      <c r="H89" s="169"/>
      <c r="I89" s="170"/>
      <c r="J89" s="170"/>
      <c r="L89" s="35"/>
      <c r="M89" s="35"/>
      <c r="N89" s="35"/>
    </row>
    <row r="90" spans="1:14" ht="12" customHeight="1">
      <c r="A90" s="455" t="s">
        <v>351</v>
      </c>
      <c r="B90" s="456" t="s">
        <v>272</v>
      </c>
      <c r="C90" s="454">
        <v>60.8</v>
      </c>
      <c r="D90" s="454">
        <v>63.6</v>
      </c>
      <c r="E90" s="454">
        <v>58.2</v>
      </c>
      <c r="F90" s="454">
        <v>59.3</v>
      </c>
      <c r="G90" s="458">
        <v>61</v>
      </c>
      <c r="H90" s="500">
        <v>67</v>
      </c>
      <c r="I90" s="496">
        <v>66</v>
      </c>
      <c r="J90" s="496">
        <v>65</v>
      </c>
      <c r="L90" s="35"/>
      <c r="M90" s="35"/>
      <c r="N90" s="35"/>
    </row>
    <row r="91" spans="1:14" ht="12" customHeight="1" thickBot="1">
      <c r="A91" s="435" t="s">
        <v>352</v>
      </c>
      <c r="B91" s="436" t="s">
        <v>272</v>
      </c>
      <c r="C91" s="497">
        <v>39.200000000000003</v>
      </c>
      <c r="D91" s="497">
        <v>36.4</v>
      </c>
      <c r="E91" s="497">
        <v>41.8</v>
      </c>
      <c r="F91" s="497">
        <v>40.700000000000003</v>
      </c>
      <c r="G91" s="498">
        <v>39</v>
      </c>
      <c r="H91" s="502">
        <v>33</v>
      </c>
      <c r="I91" s="438">
        <v>34</v>
      </c>
      <c r="J91" s="438">
        <v>35</v>
      </c>
      <c r="L91" s="35"/>
      <c r="M91" s="35"/>
      <c r="N91" s="35"/>
    </row>
    <row r="92" spans="1:14" ht="12" customHeight="1">
      <c r="A92" s="406" t="s">
        <v>353</v>
      </c>
      <c r="B92" s="405"/>
      <c r="C92" s="511" t="s">
        <v>345</v>
      </c>
      <c r="D92" s="511" t="s">
        <v>345</v>
      </c>
      <c r="E92" s="511" t="s">
        <v>345</v>
      </c>
      <c r="F92" s="511" t="s">
        <v>345</v>
      </c>
      <c r="G92" s="499"/>
      <c r="H92" s="408"/>
      <c r="I92" s="408"/>
      <c r="J92" s="408"/>
      <c r="L92" s="35"/>
      <c r="M92" s="35"/>
      <c r="N92" s="35"/>
    </row>
    <row r="93" spans="1:14" ht="12" customHeight="1">
      <c r="A93" s="52" t="s">
        <v>340</v>
      </c>
      <c r="B93" s="53" t="s">
        <v>280</v>
      </c>
      <c r="C93" s="453">
        <v>130.6</v>
      </c>
      <c r="D93" s="453">
        <v>83.6</v>
      </c>
      <c r="E93" s="453">
        <v>65.599999999999994</v>
      </c>
      <c r="F93" s="453">
        <v>79.8</v>
      </c>
      <c r="G93" s="450">
        <v>39.4</v>
      </c>
      <c r="H93" s="433">
        <v>49</v>
      </c>
      <c r="I93" s="451">
        <v>77.599999999999994</v>
      </c>
      <c r="J93" s="451">
        <v>47.2</v>
      </c>
      <c r="L93" s="35"/>
      <c r="M93" s="35"/>
      <c r="N93" s="35"/>
    </row>
    <row r="94" spans="1:14" ht="12" customHeight="1">
      <c r="A94" s="412" t="s">
        <v>342</v>
      </c>
      <c r="B94" s="413" t="s">
        <v>280</v>
      </c>
      <c r="C94" s="452">
        <v>114.2</v>
      </c>
      <c r="D94" s="452">
        <v>164.5</v>
      </c>
      <c r="E94" s="452">
        <v>171.6</v>
      </c>
      <c r="F94" s="452">
        <v>119.9</v>
      </c>
      <c r="G94" s="448">
        <v>50.3</v>
      </c>
      <c r="H94" s="79">
        <v>68.900000000000006</v>
      </c>
      <c r="I94" s="449">
        <v>105.7</v>
      </c>
      <c r="J94" s="449">
        <v>67.099999999999994</v>
      </c>
      <c r="L94" s="35"/>
      <c r="M94" s="35"/>
      <c r="N94" s="35"/>
    </row>
    <row r="95" spans="1:14" ht="12" customHeight="1" thickBot="1">
      <c r="A95" s="435" t="s">
        <v>35</v>
      </c>
      <c r="B95" s="436" t="s">
        <v>280</v>
      </c>
      <c r="C95" s="497">
        <v>244.8</v>
      </c>
      <c r="D95" s="497">
        <v>248.1</v>
      </c>
      <c r="E95" s="497">
        <v>237.2</v>
      </c>
      <c r="F95" s="497">
        <v>199.7</v>
      </c>
      <c r="G95" s="498">
        <v>89.7</v>
      </c>
      <c r="H95" s="437">
        <v>117.9</v>
      </c>
      <c r="I95" s="505">
        <v>183.3</v>
      </c>
      <c r="J95" s="505">
        <v>114.3</v>
      </c>
    </row>
    <row r="96" spans="1:14" ht="12" customHeight="1">
      <c r="A96" s="406" t="s">
        <v>354</v>
      </c>
      <c r="B96" s="405"/>
      <c r="C96" s="511" t="s">
        <v>345</v>
      </c>
      <c r="D96" s="511" t="s">
        <v>345</v>
      </c>
      <c r="E96" s="511" t="s">
        <v>345</v>
      </c>
      <c r="F96" s="511" t="s">
        <v>345</v>
      </c>
      <c r="G96" s="499"/>
      <c r="H96" s="408"/>
      <c r="I96" s="408"/>
      <c r="J96" s="408"/>
    </row>
    <row r="97" spans="1:10" ht="12" customHeight="1">
      <c r="A97" s="52" t="s">
        <v>340</v>
      </c>
      <c r="B97" s="53" t="s">
        <v>355</v>
      </c>
      <c r="C97" s="453">
        <v>91</v>
      </c>
      <c r="D97" s="453">
        <v>104.6</v>
      </c>
      <c r="E97" s="453">
        <v>108.5</v>
      </c>
      <c r="F97" s="453">
        <v>89.5</v>
      </c>
      <c r="G97" s="450">
        <v>67.599999999999994</v>
      </c>
      <c r="H97" s="58">
        <v>52.9</v>
      </c>
      <c r="I97" s="451">
        <v>44.5</v>
      </c>
      <c r="J97" s="451">
        <v>52.9</v>
      </c>
    </row>
    <row r="98" spans="1:10" ht="12" customHeight="1">
      <c r="A98" s="412" t="s">
        <v>342</v>
      </c>
      <c r="B98" s="413" t="s">
        <v>355</v>
      </c>
      <c r="C98" s="452">
        <v>109.9</v>
      </c>
      <c r="D98" s="452">
        <v>112.6</v>
      </c>
      <c r="E98" s="452">
        <v>106</v>
      </c>
      <c r="F98" s="452">
        <v>86.5</v>
      </c>
      <c r="G98" s="448">
        <v>62.3</v>
      </c>
      <c r="H98" s="79">
        <v>61.4</v>
      </c>
      <c r="I98" s="449">
        <v>65</v>
      </c>
      <c r="J98" s="449">
        <v>61.5</v>
      </c>
    </row>
    <row r="99" spans="1:10" ht="12" customHeight="1" thickBot="1">
      <c r="A99" s="435" t="s">
        <v>35</v>
      </c>
      <c r="B99" s="436" t="s">
        <v>355</v>
      </c>
      <c r="C99" s="497">
        <v>97.5</v>
      </c>
      <c r="D99" s="497">
        <v>107.4</v>
      </c>
      <c r="E99" s="497">
        <v>107.6</v>
      </c>
      <c r="F99" s="497">
        <v>88.4</v>
      </c>
      <c r="G99" s="498">
        <v>65.7</v>
      </c>
      <c r="H99" s="437">
        <v>55.6</v>
      </c>
      <c r="I99" s="505">
        <v>51.8</v>
      </c>
      <c r="J99" s="505">
        <v>56.4</v>
      </c>
    </row>
    <row r="100" spans="1:10" ht="12" customHeight="1">
      <c r="A100" s="172" t="s">
        <v>356</v>
      </c>
      <c r="B100" s="174"/>
      <c r="C100" s="170"/>
      <c r="D100" s="170"/>
      <c r="E100" s="170"/>
      <c r="F100" s="170"/>
      <c r="G100" s="170"/>
      <c r="H100" s="169"/>
      <c r="I100" s="170"/>
      <c r="J100" s="170"/>
    </row>
    <row r="101" spans="1:10" ht="12" customHeight="1">
      <c r="A101" s="52" t="s">
        <v>357</v>
      </c>
      <c r="B101" s="53" t="s">
        <v>272</v>
      </c>
      <c r="C101" s="409">
        <v>17</v>
      </c>
      <c r="D101" s="409">
        <v>20</v>
      </c>
      <c r="E101" s="409">
        <v>21</v>
      </c>
      <c r="F101" s="409">
        <v>19</v>
      </c>
      <c r="G101" s="409">
        <v>17</v>
      </c>
      <c r="H101" s="52">
        <v>17</v>
      </c>
      <c r="I101" s="52">
        <v>19</v>
      </c>
      <c r="J101" s="52">
        <v>16</v>
      </c>
    </row>
    <row r="102" spans="1:10" ht="12" customHeight="1">
      <c r="A102" s="412" t="s">
        <v>358</v>
      </c>
      <c r="B102" s="413" t="s">
        <v>272</v>
      </c>
      <c r="C102" s="414">
        <v>8</v>
      </c>
      <c r="D102" s="414">
        <v>8</v>
      </c>
      <c r="E102" s="414">
        <v>7</v>
      </c>
      <c r="F102" s="414">
        <v>8</v>
      </c>
      <c r="G102" s="414">
        <v>7.0000000000000009</v>
      </c>
      <c r="H102" s="412">
        <v>7</v>
      </c>
      <c r="I102" s="412">
        <v>9</v>
      </c>
      <c r="J102" s="412">
        <v>9</v>
      </c>
    </row>
    <row r="103" spans="1:10" ht="12" customHeight="1">
      <c r="A103" s="52" t="s">
        <v>359</v>
      </c>
      <c r="B103" s="53" t="s">
        <v>272</v>
      </c>
      <c r="C103" s="409">
        <v>2</v>
      </c>
      <c r="D103" s="409">
        <v>2</v>
      </c>
      <c r="E103" s="409">
        <v>2</v>
      </c>
      <c r="F103" s="409">
        <v>2</v>
      </c>
      <c r="G103" s="409">
        <v>2</v>
      </c>
      <c r="H103" s="52">
        <v>2</v>
      </c>
      <c r="I103" s="52">
        <v>2</v>
      </c>
      <c r="J103" s="409" t="s">
        <v>281</v>
      </c>
    </row>
    <row r="104" spans="1:10" ht="12" customHeight="1">
      <c r="A104" s="412" t="s">
        <v>360</v>
      </c>
      <c r="B104" s="413" t="s">
        <v>272</v>
      </c>
      <c r="C104" s="414">
        <v>2</v>
      </c>
      <c r="D104" s="414">
        <v>5</v>
      </c>
      <c r="E104" s="414">
        <v>4</v>
      </c>
      <c r="F104" s="414">
        <v>6</v>
      </c>
      <c r="G104" s="414">
        <v>15</v>
      </c>
      <c r="H104" s="412">
        <v>10</v>
      </c>
      <c r="I104" s="516">
        <v>10</v>
      </c>
      <c r="J104" s="412">
        <v>12</v>
      </c>
    </row>
    <row r="105" spans="1:10" ht="12" customHeight="1">
      <c r="A105" s="52" t="s">
        <v>361</v>
      </c>
      <c r="B105" s="53" t="s">
        <v>272</v>
      </c>
      <c r="C105" s="409">
        <v>17</v>
      </c>
      <c r="D105" s="409">
        <v>17</v>
      </c>
      <c r="E105" s="409">
        <v>24</v>
      </c>
      <c r="F105" s="409">
        <v>14</v>
      </c>
      <c r="G105" s="409">
        <v>21</v>
      </c>
      <c r="H105" s="52">
        <v>25</v>
      </c>
      <c r="I105" s="52">
        <v>25</v>
      </c>
      <c r="J105" s="52">
        <v>23</v>
      </c>
    </row>
    <row r="106" spans="1:10" ht="12" customHeight="1">
      <c r="A106" s="412" t="s">
        <v>362</v>
      </c>
      <c r="B106" s="413" t="s">
        <v>272</v>
      </c>
      <c r="C106" s="414">
        <v>0</v>
      </c>
      <c r="D106" s="414">
        <v>2</v>
      </c>
      <c r="E106" s="414">
        <v>3</v>
      </c>
      <c r="F106" s="414">
        <v>5</v>
      </c>
      <c r="G106" s="414">
        <v>0</v>
      </c>
      <c r="H106" s="412">
        <v>5</v>
      </c>
      <c r="I106" s="412">
        <v>5</v>
      </c>
      <c r="J106" s="414" t="s">
        <v>281</v>
      </c>
    </row>
    <row r="107" spans="1:10" ht="12" customHeight="1">
      <c r="A107" s="52" t="s">
        <v>363</v>
      </c>
      <c r="B107" s="53" t="s">
        <v>272</v>
      </c>
      <c r="C107" s="409">
        <v>9</v>
      </c>
      <c r="D107" s="409">
        <v>7</v>
      </c>
      <c r="E107" s="409">
        <v>7</v>
      </c>
      <c r="F107" s="409">
        <v>6</v>
      </c>
      <c r="G107" s="409">
        <v>4</v>
      </c>
      <c r="H107" s="52">
        <v>6</v>
      </c>
      <c r="I107" s="52">
        <v>5</v>
      </c>
      <c r="J107" s="52">
        <v>8</v>
      </c>
    </row>
    <row r="108" spans="1:10" ht="12" customHeight="1">
      <c r="A108" s="412" t="s">
        <v>14</v>
      </c>
      <c r="B108" s="413" t="s">
        <v>272</v>
      </c>
      <c r="C108" s="414">
        <v>20</v>
      </c>
      <c r="D108" s="414">
        <v>18</v>
      </c>
      <c r="E108" s="414">
        <v>1</v>
      </c>
      <c r="F108" s="414">
        <v>1</v>
      </c>
      <c r="G108" s="414">
        <v>2</v>
      </c>
      <c r="H108" s="412">
        <v>2</v>
      </c>
      <c r="I108" s="412">
        <v>2</v>
      </c>
      <c r="J108" s="414" t="s">
        <v>281</v>
      </c>
    </row>
    <row r="109" spans="1:10" ht="12" customHeight="1">
      <c r="A109" s="52" t="s">
        <v>264</v>
      </c>
      <c r="B109" s="53" t="s">
        <v>272</v>
      </c>
      <c r="C109" s="409">
        <v>8</v>
      </c>
      <c r="D109" s="409">
        <v>3</v>
      </c>
      <c r="E109" s="409">
        <v>13</v>
      </c>
      <c r="F109" s="409">
        <v>10</v>
      </c>
      <c r="G109" s="409">
        <v>10.999999999999993</v>
      </c>
      <c r="H109" s="52">
        <v>9</v>
      </c>
      <c r="I109" s="52">
        <v>10</v>
      </c>
      <c r="J109" s="52">
        <v>17</v>
      </c>
    </row>
    <row r="110" spans="1:10" ht="12" customHeight="1">
      <c r="A110" s="412" t="s">
        <v>16</v>
      </c>
      <c r="B110" s="413" t="s">
        <v>272</v>
      </c>
      <c r="C110" s="414">
        <v>11</v>
      </c>
      <c r="D110" s="414">
        <v>12</v>
      </c>
      <c r="E110" s="414">
        <v>10</v>
      </c>
      <c r="F110" s="414">
        <v>18</v>
      </c>
      <c r="G110" s="414">
        <v>11</v>
      </c>
      <c r="H110" s="412">
        <v>11</v>
      </c>
      <c r="I110" s="412">
        <v>9</v>
      </c>
      <c r="J110" s="412">
        <v>15</v>
      </c>
    </row>
    <row r="111" spans="1:10" ht="12" customHeight="1">
      <c r="A111" s="412" t="s">
        <v>364</v>
      </c>
      <c r="B111" s="413" t="s">
        <v>272</v>
      </c>
      <c r="C111" s="414">
        <v>2</v>
      </c>
      <c r="D111" s="414">
        <v>2</v>
      </c>
      <c r="E111" s="414">
        <v>2</v>
      </c>
      <c r="F111" s="414">
        <v>2</v>
      </c>
      <c r="G111" s="414">
        <v>2</v>
      </c>
      <c r="H111" s="412">
        <v>3</v>
      </c>
      <c r="I111" s="412">
        <v>2</v>
      </c>
      <c r="J111" s="414" t="s">
        <v>281</v>
      </c>
    </row>
    <row r="112" spans="1:10" ht="12" customHeight="1" thickBot="1">
      <c r="A112" s="435" t="s">
        <v>365</v>
      </c>
      <c r="B112" s="436" t="s">
        <v>272</v>
      </c>
      <c r="C112" s="503">
        <v>4</v>
      </c>
      <c r="D112" s="503">
        <v>4</v>
      </c>
      <c r="E112" s="503">
        <v>6</v>
      </c>
      <c r="F112" s="503">
        <v>9</v>
      </c>
      <c r="G112" s="503">
        <v>8</v>
      </c>
      <c r="H112" s="435">
        <v>3</v>
      </c>
      <c r="I112" s="435">
        <v>3</v>
      </c>
      <c r="J112" s="503" t="s">
        <v>281</v>
      </c>
    </row>
    <row r="113" spans="1:14" ht="12" customHeight="1">
      <c r="A113" s="406" t="s">
        <v>19</v>
      </c>
      <c r="B113" s="405" t="s">
        <v>20</v>
      </c>
      <c r="C113" s="407">
        <v>2025</v>
      </c>
      <c r="D113" s="407">
        <v>2024</v>
      </c>
      <c r="E113" s="407">
        <v>2023</v>
      </c>
      <c r="F113" s="407">
        <v>2022</v>
      </c>
      <c r="G113" s="407">
        <v>2021</v>
      </c>
      <c r="H113" s="408">
        <v>2020</v>
      </c>
      <c r="I113" s="408">
        <v>2019</v>
      </c>
      <c r="J113" s="406">
        <v>2018</v>
      </c>
      <c r="L113" s="35"/>
      <c r="M113" s="35"/>
      <c r="N113" s="35"/>
    </row>
    <row r="114" spans="1:14" ht="12" customHeight="1">
      <c r="A114" s="172" t="s">
        <v>366</v>
      </c>
      <c r="B114" s="174"/>
      <c r="C114" s="170"/>
      <c r="D114" s="170"/>
      <c r="E114" s="170"/>
      <c r="F114" s="170"/>
      <c r="G114" s="170"/>
      <c r="H114" s="169"/>
      <c r="I114" s="170"/>
      <c r="J114" s="170"/>
    </row>
    <row r="115" spans="1:14" ht="12" customHeight="1">
      <c r="A115" s="52" t="s">
        <v>367</v>
      </c>
      <c r="B115" s="53" t="s">
        <v>368</v>
      </c>
      <c r="C115" s="517">
        <v>1949.787</v>
      </c>
      <c r="D115" s="517">
        <v>2507.6999999999998</v>
      </c>
      <c r="E115" s="517">
        <v>2890.6</v>
      </c>
      <c r="F115" s="513">
        <v>3571.5</v>
      </c>
      <c r="G115" s="450">
        <v>2148.5</v>
      </c>
      <c r="H115" s="451">
        <v>1462.3</v>
      </c>
      <c r="I115" s="451">
        <v>2215.8000000000002</v>
      </c>
      <c r="J115" s="451">
        <v>2296.6999999999998</v>
      </c>
    </row>
    <row r="116" spans="1:14" ht="12" customHeight="1">
      <c r="A116" s="412" t="s">
        <v>369</v>
      </c>
      <c r="B116" s="413" t="s">
        <v>368</v>
      </c>
      <c r="C116" s="518">
        <v>2238.7000000000003</v>
      </c>
      <c r="D116" s="518">
        <v>2673.2</v>
      </c>
      <c r="E116" s="518">
        <v>2970</v>
      </c>
      <c r="F116" s="514">
        <v>3307.4</v>
      </c>
      <c r="G116" s="448">
        <v>1688.9</v>
      </c>
      <c r="H116" s="449">
        <v>1507.1</v>
      </c>
      <c r="I116" s="449">
        <v>2532.5</v>
      </c>
      <c r="J116" s="470" t="s">
        <v>281</v>
      </c>
    </row>
    <row r="117" spans="1:14" ht="12" customHeight="1">
      <c r="A117" s="52" t="s">
        <v>370</v>
      </c>
      <c r="B117" s="53" t="s">
        <v>368</v>
      </c>
      <c r="C117" s="453">
        <v>-1.7</v>
      </c>
      <c r="D117" s="453">
        <v>-67.8</v>
      </c>
      <c r="E117" s="453">
        <v>147.1</v>
      </c>
      <c r="F117" s="453">
        <v>90.9</v>
      </c>
      <c r="G117" s="519">
        <v>-16.600000000000001</v>
      </c>
      <c r="H117" s="451">
        <v>2</v>
      </c>
      <c r="I117" s="451">
        <v>67.900000000000006</v>
      </c>
      <c r="J117" s="451">
        <v>36.200000000000003</v>
      </c>
    </row>
    <row r="118" spans="1:14" ht="12" customHeight="1">
      <c r="A118" s="412" t="s">
        <v>371</v>
      </c>
      <c r="B118" s="413" t="s">
        <v>368</v>
      </c>
      <c r="C118" s="452">
        <v>146.69999999999999</v>
      </c>
      <c r="D118" s="452">
        <v>162.5</v>
      </c>
      <c r="E118" s="452">
        <v>198.8</v>
      </c>
      <c r="F118" s="452">
        <v>194.5</v>
      </c>
      <c r="G118" s="448">
        <v>61.1</v>
      </c>
      <c r="H118" s="449">
        <v>119.7</v>
      </c>
      <c r="I118" s="449">
        <v>194.7</v>
      </c>
      <c r="J118" s="449">
        <v>159.9</v>
      </c>
    </row>
    <row r="119" spans="1:14" ht="12" customHeight="1">
      <c r="A119" s="52" t="s">
        <v>372</v>
      </c>
      <c r="B119" s="53" t="s">
        <v>368</v>
      </c>
      <c r="C119" s="450">
        <v>115.9</v>
      </c>
      <c r="D119" s="450">
        <v>250.3</v>
      </c>
      <c r="E119" s="450">
        <v>355</v>
      </c>
      <c r="F119" s="450">
        <v>300</v>
      </c>
      <c r="G119" s="450">
        <v>106.8</v>
      </c>
      <c r="H119" s="451">
        <v>77</v>
      </c>
      <c r="I119" s="451">
        <v>137.6</v>
      </c>
      <c r="J119" s="451">
        <v>174.9</v>
      </c>
    </row>
    <row r="120" spans="1:14" ht="12" customHeight="1">
      <c r="A120" s="520" t="s">
        <v>373</v>
      </c>
      <c r="B120" s="521" t="s">
        <v>368</v>
      </c>
      <c r="C120" s="522">
        <v>333.5</v>
      </c>
      <c r="D120" s="522">
        <v>348.3</v>
      </c>
      <c r="E120" s="522">
        <v>341.3</v>
      </c>
      <c r="F120" s="522">
        <v>307</v>
      </c>
      <c r="G120" s="522">
        <v>225.8</v>
      </c>
      <c r="H120" s="523">
        <v>208.8</v>
      </c>
      <c r="I120" s="523">
        <v>265</v>
      </c>
      <c r="J120" s="523">
        <v>241.1</v>
      </c>
    </row>
    <row r="121" spans="1:14" ht="12" customHeight="1">
      <c r="A121" s="520" t="s">
        <v>374</v>
      </c>
      <c r="B121" s="521" t="s">
        <v>368</v>
      </c>
      <c r="C121" s="522">
        <v>1636</v>
      </c>
      <c r="D121" s="522">
        <v>1963.2</v>
      </c>
      <c r="E121" s="522">
        <v>1911</v>
      </c>
      <c r="F121" s="522">
        <v>1714.7</v>
      </c>
      <c r="G121" s="522">
        <v>1311.8</v>
      </c>
      <c r="H121" s="523">
        <v>1075.4000000000001</v>
      </c>
      <c r="I121" s="523">
        <v>1171.2</v>
      </c>
      <c r="J121" s="523">
        <v>1217.7</v>
      </c>
    </row>
    <row r="122" spans="1:14" ht="12" customHeight="1" thickBot="1">
      <c r="A122" s="435" t="s">
        <v>375</v>
      </c>
      <c r="B122" s="436" t="s">
        <v>368</v>
      </c>
      <c r="C122" s="498">
        <v>8.3000000000000007</v>
      </c>
      <c r="D122" s="498">
        <v>16.7</v>
      </c>
      <c r="E122" s="498">
        <v>16.8</v>
      </c>
      <c r="F122" s="498">
        <v>700.2</v>
      </c>
      <c r="G122" s="498" t="s">
        <v>281</v>
      </c>
      <c r="H122" s="505">
        <v>24.2</v>
      </c>
      <c r="I122" s="505">
        <v>696.1</v>
      </c>
      <c r="J122" s="524" t="s">
        <v>281</v>
      </c>
    </row>
    <row r="123" spans="1:14" ht="12" customHeight="1">
      <c r="A123" s="276"/>
      <c r="B123" s="276"/>
      <c r="C123" s="276"/>
      <c r="D123" s="276"/>
      <c r="E123" s="276"/>
      <c r="F123" s="276"/>
      <c r="G123" s="276"/>
      <c r="H123" s="276"/>
      <c r="I123" s="276"/>
      <c r="J123" s="276"/>
    </row>
    <row r="124" spans="1:14" ht="12" customHeight="1">
      <c r="A124" s="172" t="s">
        <v>376</v>
      </c>
      <c r="B124" s="174"/>
      <c r="C124" s="170">
        <v>2025</v>
      </c>
      <c r="D124" s="170">
        <v>2024</v>
      </c>
      <c r="E124" s="170">
        <v>2023</v>
      </c>
      <c r="F124" s="170">
        <v>2022</v>
      </c>
      <c r="G124" s="170">
        <v>2021</v>
      </c>
      <c r="H124" s="525"/>
      <c r="I124" s="526"/>
      <c r="J124" s="526"/>
    </row>
    <row r="125" spans="1:14" ht="12" customHeight="1">
      <c r="A125" s="304" t="s">
        <v>377</v>
      </c>
      <c r="B125" s="527" t="s">
        <v>378</v>
      </c>
      <c r="C125" s="528">
        <v>469748</v>
      </c>
      <c r="D125" s="528">
        <v>497745</v>
      </c>
      <c r="E125" s="528">
        <v>445046</v>
      </c>
      <c r="F125" s="528">
        <v>444652</v>
      </c>
      <c r="G125" s="528">
        <v>546272</v>
      </c>
      <c r="H125" s="453"/>
      <c r="I125" s="453"/>
      <c r="J125" s="453"/>
    </row>
    <row r="126" spans="1:14" ht="12" customHeight="1">
      <c r="A126" s="110" t="s">
        <v>379</v>
      </c>
      <c r="B126" s="529" t="s">
        <v>378</v>
      </c>
      <c r="C126" s="530" t="s">
        <v>281</v>
      </c>
      <c r="D126" s="530">
        <v>194924</v>
      </c>
      <c r="E126" s="530">
        <v>980452</v>
      </c>
      <c r="F126" s="530">
        <v>1219433</v>
      </c>
      <c r="G126" s="530">
        <v>453209</v>
      </c>
      <c r="H126" s="453"/>
      <c r="I126" s="531"/>
      <c r="J126" s="453"/>
    </row>
    <row r="127" spans="1:14" ht="12" customHeight="1">
      <c r="A127" s="110" t="s">
        <v>380</v>
      </c>
      <c r="B127" s="529" t="s">
        <v>378</v>
      </c>
      <c r="C127" s="530">
        <v>409721</v>
      </c>
      <c r="D127" s="530">
        <v>106221</v>
      </c>
      <c r="E127" s="530">
        <v>439342</v>
      </c>
      <c r="F127" s="530">
        <v>318611</v>
      </c>
      <c r="G127" s="530">
        <v>326962</v>
      </c>
      <c r="H127" s="532"/>
      <c r="I127" s="453"/>
      <c r="J127" s="453"/>
    </row>
    <row r="128" spans="1:14" ht="12" customHeight="1">
      <c r="A128" s="110" t="s">
        <v>381</v>
      </c>
      <c r="B128" s="529" t="s">
        <v>378</v>
      </c>
      <c r="C128" s="530">
        <v>127000</v>
      </c>
      <c r="D128" s="530">
        <v>136216</v>
      </c>
      <c r="E128" s="530">
        <v>100000</v>
      </c>
      <c r="F128" s="530">
        <v>0</v>
      </c>
      <c r="G128" s="530">
        <v>0</v>
      </c>
      <c r="H128" s="532"/>
      <c r="I128" s="453"/>
      <c r="J128" s="453"/>
    </row>
    <row r="129" spans="1:10" ht="12" customHeight="1">
      <c r="A129" s="110" t="s">
        <v>382</v>
      </c>
      <c r="B129" s="529" t="s">
        <v>378</v>
      </c>
      <c r="C129" s="530" t="s">
        <v>281</v>
      </c>
      <c r="D129" s="530" t="s">
        <v>281</v>
      </c>
      <c r="E129" s="530">
        <v>50000</v>
      </c>
      <c r="F129" s="530">
        <v>0</v>
      </c>
      <c r="G129" s="530">
        <v>0</v>
      </c>
      <c r="H129" s="532"/>
      <c r="I129" s="453"/>
      <c r="J129" s="453"/>
    </row>
    <row r="130" spans="1:10" ht="12" customHeight="1">
      <c r="A130" s="533" t="s">
        <v>383</v>
      </c>
      <c r="B130" s="529" t="s">
        <v>378</v>
      </c>
      <c r="C130" s="534">
        <v>14740</v>
      </c>
      <c r="D130" s="534">
        <v>14740</v>
      </c>
      <c r="E130" s="534">
        <v>12880</v>
      </c>
      <c r="F130" s="534">
        <v>14080</v>
      </c>
      <c r="G130" s="534">
        <v>14080</v>
      </c>
      <c r="H130" s="453"/>
      <c r="I130" s="453"/>
      <c r="J130" s="453"/>
    </row>
    <row r="131" spans="1:10" ht="12" customHeight="1">
      <c r="A131" s="533" t="s">
        <v>384</v>
      </c>
      <c r="B131" s="529" t="s">
        <v>378</v>
      </c>
      <c r="C131" s="535" t="s">
        <v>281</v>
      </c>
      <c r="D131" s="535" t="s">
        <v>281</v>
      </c>
      <c r="E131" s="535">
        <v>0</v>
      </c>
      <c r="F131" s="535" t="s">
        <v>281</v>
      </c>
      <c r="G131" s="534">
        <v>600</v>
      </c>
      <c r="H131" s="453"/>
      <c r="I131" s="453"/>
      <c r="J131" s="453"/>
    </row>
    <row r="132" spans="1:10" ht="12" customHeight="1">
      <c r="A132" s="536" t="s">
        <v>385</v>
      </c>
      <c r="B132" s="483" t="s">
        <v>310</v>
      </c>
      <c r="C132" s="528">
        <v>0</v>
      </c>
      <c r="D132" s="528">
        <v>4350</v>
      </c>
      <c r="E132" s="528">
        <v>3250</v>
      </c>
      <c r="F132" s="528">
        <v>3675</v>
      </c>
      <c r="G132" s="528">
        <v>1675</v>
      </c>
      <c r="H132" s="453"/>
      <c r="I132" s="453"/>
      <c r="J132" s="453"/>
    </row>
    <row r="133" spans="1:10" ht="12" customHeight="1">
      <c r="A133" s="536" t="s">
        <v>386</v>
      </c>
      <c r="B133" s="483" t="s">
        <v>310</v>
      </c>
      <c r="C133" s="528">
        <v>0</v>
      </c>
      <c r="D133" s="528">
        <v>240</v>
      </c>
      <c r="E133" s="528">
        <v>240</v>
      </c>
      <c r="F133" s="528">
        <v>240</v>
      </c>
      <c r="G133" s="528">
        <v>240</v>
      </c>
      <c r="H133" s="453"/>
      <c r="I133" s="453"/>
      <c r="J133" s="453"/>
    </row>
    <row r="134" spans="1:10" ht="12" customHeight="1">
      <c r="A134" s="536" t="s">
        <v>387</v>
      </c>
      <c r="B134" s="483" t="s">
        <v>310</v>
      </c>
      <c r="C134" s="528">
        <v>0</v>
      </c>
      <c r="D134" s="528">
        <v>3500</v>
      </c>
      <c r="E134" s="528">
        <v>3650</v>
      </c>
      <c r="F134" s="528">
        <v>650</v>
      </c>
      <c r="G134" s="528">
        <v>1000</v>
      </c>
      <c r="H134" s="453"/>
      <c r="I134" s="453"/>
      <c r="J134" s="453"/>
    </row>
    <row r="135" spans="1:10" ht="12" customHeight="1">
      <c r="A135" s="536" t="s">
        <v>388</v>
      </c>
      <c r="B135" s="483" t="s">
        <v>310</v>
      </c>
      <c r="C135" s="528">
        <v>2625</v>
      </c>
      <c r="D135" s="528">
        <v>2625</v>
      </c>
      <c r="E135" s="528">
        <v>2500</v>
      </c>
      <c r="F135" s="528">
        <v>2500</v>
      </c>
      <c r="G135" s="528">
        <v>2500</v>
      </c>
      <c r="H135" s="453"/>
      <c r="I135" s="453"/>
      <c r="J135" s="453"/>
    </row>
    <row r="136" spans="1:10" ht="12" customHeight="1">
      <c r="A136" s="533" t="s">
        <v>389</v>
      </c>
      <c r="B136" s="478" t="s">
        <v>310</v>
      </c>
      <c r="C136" s="535">
        <v>0</v>
      </c>
      <c r="D136" s="535">
        <v>600</v>
      </c>
      <c r="E136" s="535">
        <v>1000</v>
      </c>
      <c r="F136" s="535" t="s">
        <v>281</v>
      </c>
      <c r="G136" s="534">
        <v>100</v>
      </c>
      <c r="H136" s="453"/>
      <c r="I136" s="453"/>
      <c r="J136" s="453"/>
    </row>
    <row r="137" spans="1:10" ht="12" customHeight="1">
      <c r="A137" s="453" t="s">
        <v>390</v>
      </c>
      <c r="B137" s="53" t="s">
        <v>310</v>
      </c>
      <c r="C137" s="537">
        <v>41950</v>
      </c>
      <c r="D137" s="537">
        <v>88950</v>
      </c>
      <c r="E137" s="537">
        <v>101225</v>
      </c>
      <c r="F137" s="537">
        <v>81000</v>
      </c>
      <c r="G137" s="537">
        <v>75000</v>
      </c>
      <c r="H137" s="453"/>
      <c r="I137" s="453"/>
      <c r="J137" s="453"/>
    </row>
    <row r="138" spans="1:10" ht="12" customHeight="1">
      <c r="A138" s="238"/>
      <c r="B138" s="239"/>
      <c r="C138" s="239"/>
      <c r="D138" s="239"/>
      <c r="E138" s="239"/>
      <c r="F138" s="239"/>
      <c r="G138" s="239"/>
    </row>
    <row r="139" spans="1:10" ht="12" customHeight="1">
      <c r="A139" s="230"/>
    </row>
    <row r="140" spans="1:10" ht="12" customHeight="1">
      <c r="A140" s="231"/>
      <c r="B140" s="43"/>
      <c r="C140" s="43"/>
      <c r="D140" s="43"/>
      <c r="E140" s="232"/>
    </row>
    <row r="145" spans="3:4" ht="12" customHeight="1">
      <c r="C145" s="389"/>
      <c r="D145" s="389"/>
    </row>
    <row r="147" spans="3:4" ht="12" customHeight="1">
      <c r="C147" s="389"/>
      <c r="D147" s="389"/>
    </row>
    <row r="148" spans="3:4" ht="12" customHeight="1">
      <c r="C148" s="389"/>
      <c r="D148" s="389"/>
    </row>
    <row r="149" spans="3:4" ht="12" customHeight="1">
      <c r="C149" s="389"/>
      <c r="D149" s="389"/>
    </row>
    <row r="150" spans="3:4" ht="12" customHeight="1">
      <c r="C150" s="389"/>
      <c r="D150" s="389"/>
    </row>
  </sheetData>
  <sheetProtection algorithmName="SHA-512" hashValue="8CVZPMML82NomqFoblcETc4SY3ldhbH0yarEKPV6jWgSF/Wy6r+E1E6WLv1seOp20vcv61h7Z9ARRHOOxTWZ5A==" saltValue="IHfUc2hcFY6DbQCMJ4ECdw==" spinCount="100000" sheet="1" objects="1" scenarios="1" selectLockedCells="1" selectUnlockedCells="1"/>
  <pageMargins left="0.7" right="0.7" top="0.75" bottom="0.75" header="0.3" footer="0.3"/>
  <pageSetup paperSize="9" scale="69" fitToHeight="0" orientation="portrait" r:id="rId1"/>
  <rowBreaks count="2" manualBreakCount="2">
    <brk id="59" max="16383" man="1"/>
    <brk id="11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45"/>
  <sheetViews>
    <sheetView workbookViewId="0">
      <selection activeCell="R40" sqref="A34:R40"/>
    </sheetView>
  </sheetViews>
  <sheetFormatPr defaultRowHeight="15"/>
  <cols>
    <col min="1" max="1" width="18.85546875" customWidth="1"/>
  </cols>
  <sheetData>
    <row r="1" spans="1:16" ht="23.25">
      <c r="A1" s="17" t="s">
        <v>391</v>
      </c>
      <c r="B1" s="17"/>
      <c r="C1" s="17"/>
      <c r="D1" s="17"/>
      <c r="E1" s="17"/>
      <c r="F1" s="4"/>
      <c r="L1" s="4"/>
    </row>
    <row r="3" spans="1:16">
      <c r="A3" s="41" t="s">
        <v>19</v>
      </c>
      <c r="B3" s="38" t="s">
        <v>20</v>
      </c>
      <c r="C3" s="39">
        <v>2020</v>
      </c>
      <c r="D3" s="40">
        <v>2019</v>
      </c>
      <c r="E3" s="40">
        <v>2018</v>
      </c>
    </row>
    <row r="4" spans="1:16">
      <c r="A4" s="37" t="s">
        <v>392</v>
      </c>
      <c r="B4" s="38"/>
      <c r="C4" s="39"/>
      <c r="D4" s="40"/>
      <c r="E4" s="40"/>
    </row>
    <row r="5" spans="1:16">
      <c r="A5" s="35" t="s">
        <v>307</v>
      </c>
      <c r="B5" s="36" t="s">
        <v>23</v>
      </c>
      <c r="C5" s="35">
        <v>25.2</v>
      </c>
      <c r="D5" s="42">
        <v>30.8</v>
      </c>
      <c r="E5" s="35">
        <v>30.7</v>
      </c>
    </row>
    <row r="6" spans="1:16">
      <c r="A6" s="44" t="s">
        <v>21</v>
      </c>
      <c r="B6" s="45" t="s">
        <v>23</v>
      </c>
      <c r="C6" s="51">
        <v>17</v>
      </c>
      <c r="D6" s="51">
        <v>20.2</v>
      </c>
      <c r="E6" s="44">
        <v>20.2</v>
      </c>
    </row>
    <row r="7" spans="1:16">
      <c r="A7" s="35" t="s">
        <v>393</v>
      </c>
      <c r="B7" s="36" t="s">
        <v>23</v>
      </c>
      <c r="C7" s="42">
        <v>12</v>
      </c>
      <c r="D7" s="42">
        <v>12.5</v>
      </c>
      <c r="E7" s="35">
        <v>12.1</v>
      </c>
    </row>
    <row r="8" spans="1:16">
      <c r="A8" s="44" t="s">
        <v>283</v>
      </c>
      <c r="B8" s="45" t="s">
        <v>23</v>
      </c>
      <c r="C8" s="44">
        <v>18.2</v>
      </c>
      <c r="D8" s="51">
        <v>19.899999999999999</v>
      </c>
      <c r="E8" s="44">
        <v>20.100000000000001</v>
      </c>
    </row>
    <row r="9" spans="1:16">
      <c r="A9" s="35" t="s">
        <v>313</v>
      </c>
      <c r="B9" s="36" t="s">
        <v>368</v>
      </c>
      <c r="C9" s="35">
        <v>1462.3</v>
      </c>
      <c r="D9" s="42">
        <v>2216</v>
      </c>
      <c r="E9" s="35">
        <f>1481.8+510.4+235+69.5</f>
        <v>2296.6999999999998</v>
      </c>
    </row>
    <row r="10" spans="1:16">
      <c r="A10" s="44" t="s">
        <v>327</v>
      </c>
      <c r="B10" s="45" t="s">
        <v>368</v>
      </c>
      <c r="C10" s="44">
        <v>53.8</v>
      </c>
      <c r="D10" s="51">
        <v>634.20000000000005</v>
      </c>
      <c r="E10" s="44">
        <v>595.29999999999995</v>
      </c>
    </row>
    <row r="11" spans="1:16">
      <c r="A11" s="35" t="s">
        <v>394</v>
      </c>
      <c r="B11" s="36" t="s">
        <v>272</v>
      </c>
      <c r="C11" s="35">
        <v>-174.2</v>
      </c>
      <c r="D11" s="42">
        <v>80.900000000000006</v>
      </c>
      <c r="P11" s="63"/>
    </row>
    <row r="12" spans="1:16">
      <c r="A12" s="44" t="s">
        <v>395</v>
      </c>
      <c r="B12" s="45" t="s">
        <v>272</v>
      </c>
      <c r="C12" s="44">
        <v>7.3</v>
      </c>
      <c r="D12" s="51">
        <v>-8.1999999999999993</v>
      </c>
      <c r="E12" s="44"/>
      <c r="P12" s="63"/>
    </row>
    <row r="13" spans="1:16">
      <c r="A13" s="48" t="s">
        <v>396</v>
      </c>
      <c r="B13" s="49" t="s">
        <v>368</v>
      </c>
      <c r="C13" s="50">
        <v>720</v>
      </c>
      <c r="D13" s="50">
        <v>720</v>
      </c>
      <c r="E13" s="48"/>
    </row>
    <row r="14" spans="1:16">
      <c r="A14" s="35"/>
      <c r="B14" s="35"/>
      <c r="C14" s="35"/>
      <c r="D14" s="35"/>
      <c r="E14" s="35"/>
      <c r="L14" s="35"/>
      <c r="P14" s="64"/>
    </row>
    <row r="15" spans="1:16" ht="23.25">
      <c r="A15" s="17" t="s">
        <v>397</v>
      </c>
      <c r="B15" s="17"/>
      <c r="C15" s="17"/>
      <c r="D15" s="17"/>
      <c r="E15" s="2"/>
      <c r="P15" s="64"/>
    </row>
    <row r="16" spans="1:16">
      <c r="A16" s="52"/>
      <c r="B16" s="53"/>
      <c r="C16" s="52"/>
      <c r="D16" s="52"/>
      <c r="E16" s="52"/>
      <c r="P16" s="64"/>
    </row>
    <row r="17" spans="1:16">
      <c r="A17" s="41" t="s">
        <v>19</v>
      </c>
      <c r="B17" s="38" t="s">
        <v>20</v>
      </c>
      <c r="C17" s="39">
        <v>2020</v>
      </c>
      <c r="D17" s="40">
        <v>2019</v>
      </c>
      <c r="E17" s="40">
        <v>2018</v>
      </c>
      <c r="P17" s="64"/>
    </row>
    <row r="18" spans="1:16">
      <c r="A18" s="125" t="s">
        <v>398</v>
      </c>
      <c r="B18" s="125"/>
      <c r="C18" s="125"/>
      <c r="D18" s="125"/>
      <c r="E18" s="125"/>
    </row>
    <row r="19" spans="1:16">
      <c r="A19" s="46" t="s">
        <v>399</v>
      </c>
      <c r="B19" s="47" t="s">
        <v>272</v>
      </c>
      <c r="C19" s="46">
        <v>72</v>
      </c>
      <c r="D19" s="60">
        <v>72</v>
      </c>
      <c r="E19" s="46">
        <v>72</v>
      </c>
      <c r="L19" s="59"/>
    </row>
    <row r="20" spans="1:16">
      <c r="A20" s="35" t="s">
        <v>400</v>
      </c>
      <c r="B20" s="36" t="s">
        <v>272</v>
      </c>
      <c r="C20" s="35">
        <v>28</v>
      </c>
      <c r="D20" s="61">
        <v>28</v>
      </c>
      <c r="E20" s="35">
        <v>28</v>
      </c>
    </row>
    <row r="21" spans="1:16">
      <c r="A21" s="125" t="s">
        <v>401</v>
      </c>
      <c r="B21" s="125"/>
      <c r="C21" s="125"/>
      <c r="D21" s="125"/>
      <c r="E21" s="125"/>
    </row>
    <row r="22" spans="1:16">
      <c r="A22" s="35" t="s">
        <v>402</v>
      </c>
      <c r="B22" s="36" t="s">
        <v>403</v>
      </c>
      <c r="C22" s="35">
        <v>1370</v>
      </c>
      <c r="D22" s="61">
        <v>1370</v>
      </c>
      <c r="E22" s="35">
        <v>1370</v>
      </c>
      <c r="L22" s="35"/>
    </row>
    <row r="23" spans="1:16">
      <c r="A23" s="44" t="s">
        <v>404</v>
      </c>
      <c r="B23" s="45" t="s">
        <v>403</v>
      </c>
      <c r="C23" s="44">
        <v>270</v>
      </c>
      <c r="D23" s="62">
        <v>270</v>
      </c>
      <c r="E23" s="44">
        <v>270</v>
      </c>
    </row>
    <row r="24" spans="1:16">
      <c r="A24" s="44" t="s">
        <v>405</v>
      </c>
      <c r="B24" s="45" t="s">
        <v>403</v>
      </c>
      <c r="C24" s="44">
        <v>780</v>
      </c>
      <c r="D24" s="62">
        <v>780</v>
      </c>
      <c r="E24" s="44">
        <v>780</v>
      </c>
    </row>
    <row r="25" spans="1:16">
      <c r="A25" s="35" t="s">
        <v>406</v>
      </c>
      <c r="B25" s="36" t="s">
        <v>403</v>
      </c>
      <c r="C25" s="35">
        <v>125</v>
      </c>
      <c r="D25" s="61">
        <v>125</v>
      </c>
      <c r="E25" s="35">
        <v>125</v>
      </c>
    </row>
    <row r="26" spans="1:16">
      <c r="A26" s="125" t="s">
        <v>407</v>
      </c>
      <c r="B26" s="125"/>
      <c r="C26" s="125"/>
      <c r="D26" s="125"/>
      <c r="E26" s="125"/>
    </row>
    <row r="27" spans="1:16">
      <c r="A27" s="35" t="s">
        <v>408</v>
      </c>
      <c r="B27" s="36" t="s">
        <v>409</v>
      </c>
      <c r="C27" s="35">
        <v>2</v>
      </c>
      <c r="D27" s="61">
        <v>2</v>
      </c>
      <c r="E27" s="35">
        <v>2</v>
      </c>
      <c r="L27" s="59"/>
    </row>
    <row r="28" spans="1:16">
      <c r="A28" s="44" t="s">
        <v>410</v>
      </c>
      <c r="B28" s="45" t="s">
        <v>409</v>
      </c>
      <c r="C28" s="44">
        <v>1</v>
      </c>
      <c r="D28" s="62">
        <v>1</v>
      </c>
      <c r="E28" s="44">
        <v>1</v>
      </c>
    </row>
    <row r="29" spans="1:16">
      <c r="A29" s="44" t="s">
        <v>411</v>
      </c>
      <c r="B29" s="45" t="s">
        <v>412</v>
      </c>
      <c r="C29" s="44">
        <v>225</v>
      </c>
      <c r="D29" s="62">
        <v>575</v>
      </c>
      <c r="E29" s="44">
        <v>575</v>
      </c>
    </row>
    <row r="30" spans="1:16">
      <c r="A30" s="35" t="s">
        <v>404</v>
      </c>
      <c r="B30" s="36" t="s">
        <v>412</v>
      </c>
      <c r="C30" s="35">
        <v>486</v>
      </c>
      <c r="D30" s="42"/>
    </row>
    <row r="31" spans="1:16">
      <c r="A31" s="125" t="s">
        <v>413</v>
      </c>
      <c r="B31" s="125"/>
      <c r="C31" s="125"/>
      <c r="D31" s="125"/>
      <c r="E31" s="125"/>
    </row>
    <row r="32" spans="1:16">
      <c r="A32" s="35" t="s">
        <v>414</v>
      </c>
      <c r="B32" s="36" t="s">
        <v>272</v>
      </c>
      <c r="C32" s="35">
        <v>52</v>
      </c>
      <c r="D32" s="61">
        <v>51</v>
      </c>
      <c r="E32" s="35">
        <v>51</v>
      </c>
      <c r="H32" s="36"/>
    </row>
    <row r="33" spans="1:12">
      <c r="A33" s="44" t="s">
        <v>415</v>
      </c>
      <c r="B33" s="45" t="s">
        <v>272</v>
      </c>
      <c r="C33" s="44">
        <v>12</v>
      </c>
      <c r="D33" s="62">
        <v>12</v>
      </c>
      <c r="E33" s="44">
        <v>12</v>
      </c>
      <c r="H33" s="36"/>
    </row>
    <row r="34" spans="1:12">
      <c r="A34" s="35" t="s">
        <v>416</v>
      </c>
      <c r="B34" s="36" t="s">
        <v>272</v>
      </c>
      <c r="C34" s="35">
        <v>10</v>
      </c>
      <c r="D34" s="61">
        <v>11</v>
      </c>
      <c r="E34" s="35">
        <v>11</v>
      </c>
    </row>
    <row r="35" spans="1:12">
      <c r="A35" s="44" t="s">
        <v>417</v>
      </c>
      <c r="B35" s="45" t="s">
        <v>272</v>
      </c>
      <c r="C35" s="44">
        <v>16</v>
      </c>
      <c r="D35" s="62">
        <v>15</v>
      </c>
      <c r="E35" s="44">
        <v>15</v>
      </c>
    </row>
    <row r="36" spans="1:12">
      <c r="A36" s="35" t="s">
        <v>418</v>
      </c>
      <c r="B36" s="36" t="s">
        <v>272</v>
      </c>
      <c r="C36" s="35">
        <v>5</v>
      </c>
      <c r="D36" s="61">
        <v>5</v>
      </c>
      <c r="E36" s="35">
        <v>5</v>
      </c>
      <c r="G36" s="35"/>
      <c r="H36" s="35"/>
      <c r="I36" s="35"/>
      <c r="J36" s="35"/>
      <c r="K36" s="35"/>
      <c r="L36" s="35"/>
    </row>
    <row r="37" spans="1:12">
      <c r="A37" s="56" t="s">
        <v>419</v>
      </c>
      <c r="B37" s="57" t="s">
        <v>272</v>
      </c>
      <c r="C37" s="56">
        <v>2</v>
      </c>
      <c r="D37" s="65">
        <v>3</v>
      </c>
      <c r="E37" s="56">
        <v>3</v>
      </c>
    </row>
    <row r="38" spans="1:12">
      <c r="A38" s="35" t="s">
        <v>420</v>
      </c>
      <c r="B38" s="36" t="s">
        <v>272</v>
      </c>
      <c r="C38" s="35">
        <v>3</v>
      </c>
      <c r="D38" s="35">
        <v>3</v>
      </c>
      <c r="E38" s="35">
        <v>3</v>
      </c>
    </row>
    <row r="39" spans="1:12">
      <c r="A39" s="125" t="s">
        <v>421</v>
      </c>
      <c r="B39" s="125"/>
      <c r="C39" s="125"/>
      <c r="D39" s="125"/>
      <c r="E39" s="125"/>
    </row>
    <row r="40" spans="1:12">
      <c r="A40" s="35" t="s">
        <v>422</v>
      </c>
      <c r="B40" s="36" t="s">
        <v>272</v>
      </c>
      <c r="C40" s="35">
        <v>96.3</v>
      </c>
      <c r="D40" s="35">
        <v>96.3</v>
      </c>
    </row>
    <row r="41" spans="1:12">
      <c r="A41" s="44" t="s">
        <v>423</v>
      </c>
      <c r="B41" s="45" t="s">
        <v>272</v>
      </c>
      <c r="C41" s="44">
        <v>64.900000000000006</v>
      </c>
      <c r="D41" s="44">
        <v>64.900000000000006</v>
      </c>
      <c r="E41" s="44"/>
    </row>
    <row r="42" spans="1:12">
      <c r="A42" s="35" t="s">
        <v>424</v>
      </c>
      <c r="B42" s="36" t="s">
        <v>272</v>
      </c>
      <c r="C42" s="35">
        <v>31.3</v>
      </c>
      <c r="D42" s="35">
        <v>31.3</v>
      </c>
      <c r="E42" s="35"/>
    </row>
    <row r="43" spans="1:12">
      <c r="A43" s="44" t="s">
        <v>425</v>
      </c>
      <c r="B43" s="45" t="s">
        <v>272</v>
      </c>
      <c r="C43" s="44">
        <v>3.7</v>
      </c>
      <c r="D43" s="44">
        <v>3.7</v>
      </c>
      <c r="E43" s="44"/>
      <c r="F43" s="52" t="s">
        <v>426</v>
      </c>
    </row>
    <row r="44" spans="1:12">
      <c r="A44" s="44" t="s">
        <v>427</v>
      </c>
      <c r="B44" s="45" t="s">
        <v>412</v>
      </c>
      <c r="C44" s="44">
        <v>630</v>
      </c>
      <c r="D44" s="62">
        <v>630</v>
      </c>
      <c r="E44" s="44"/>
    </row>
    <row r="45" spans="1:12">
      <c r="A45" s="48" t="s">
        <v>428</v>
      </c>
      <c r="B45" s="49" t="s">
        <v>412</v>
      </c>
      <c r="C45" s="48">
        <v>950</v>
      </c>
      <c r="D45" s="66">
        <v>950</v>
      </c>
      <c r="E45" s="4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063F7EA0125847BE956AE6DBED6CB0" ma:contentTypeVersion="2153" ma:contentTypeDescription="Create a new document." ma:contentTypeScope="" ma:versionID="ba5517bffc70a1b9a89aeb5e974b660f">
  <xsd:schema xmlns:xsd="http://www.w3.org/2001/XMLSchema" xmlns:xs="http://www.w3.org/2001/XMLSchema" xmlns:p="http://schemas.microsoft.com/office/2006/metadata/properties" xmlns:ns2="b5fb1d5c-55d7-40c9-bb33-e8f753449775" xmlns:ns3="6f8f6263-b00a-4208-a042-f764cf6218f5" targetNamespace="http://schemas.microsoft.com/office/2006/metadata/properties" ma:root="true" ma:fieldsID="907d8e2d4dffd0c8abe8f12f5cc4ec38" ns2:_="" ns3:_="">
    <xsd:import namespace="b5fb1d5c-55d7-40c9-bb33-e8f753449775"/>
    <xsd:import namespace="6f8f6263-b00a-4208-a042-f764cf6218f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element ref="ns2:SharedWithUsers" minOccurs="0"/>
                <xsd:element ref="ns2:SharedWithDetails" minOccurs="0"/>
                <xsd:element ref="ns3:lcf76f155ced4ddcb4097134ff3c332f" minOccurs="0"/>
                <xsd:element ref="ns2:TaxCatchAll" minOccurs="0"/>
                <xsd:element ref="ns3:MediaLengthInSecond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fb1d5c-55d7-40c9-bb33-e8f75344977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b979ff4f-f85f-4e86-894d-b999edc81a9b}" ma:internalName="TaxCatchAll" ma:showField="CatchAllData" ma:web="b5fb1d5c-55d7-40c9-bb33-e8f75344977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f8f6263-b00a-4208-a042-f764cf6218f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0cb00f42-9c1e-467c-abe8-017a0643fb83" ma:termSetId="09814cd3-568e-fe90-9814-8d621ff8fb84" ma:anchorId="fba54fb3-c3e1-fe81-a776-ca4b69148c4d" ma:open="true" ma:isKeyword="false">
      <xsd:complexType>
        <xsd:sequence>
          <xsd:element ref="pc:Terms" minOccurs="0" maxOccurs="1"/>
        </xsd:sequence>
      </xsd:complexType>
    </xsd:element>
    <xsd:element name="MediaLengthInSeconds" ma:index="26" nillable="true" ma:displayName="MediaLengthInSeconds" ma:hidden="true" ma:internalName="MediaLengthInSeconds" ma:readOnly="true">
      <xsd:simpleType>
        <xsd:restriction base="dms:Unknow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b5fb1d5c-55d7-40c9-bb33-e8f753449775">
      <UserInfo>
        <DisplayName>Bourke, Madeline</DisplayName>
        <AccountId>24</AccountId>
        <AccountType/>
      </UserInfo>
      <UserInfo>
        <DisplayName>Lavender, Leslie</DisplayName>
        <AccountId>46</AccountId>
        <AccountType/>
      </UserInfo>
      <UserInfo>
        <DisplayName>Rogers, Dianne</DisplayName>
        <AccountId>73</AccountId>
        <AccountType/>
      </UserInfo>
      <UserInfo>
        <DisplayName>Sgro, Paula</DisplayName>
        <AccountId>74</AccountId>
        <AccountType/>
      </UserInfo>
    </SharedWithUsers>
    <lcf76f155ced4ddcb4097134ff3c332f xmlns="6f8f6263-b00a-4208-a042-f764cf6218f5">
      <Terms xmlns="http://schemas.microsoft.com/office/infopath/2007/PartnerControls"/>
    </lcf76f155ced4ddcb4097134ff3c332f>
    <MediaLengthInSeconds xmlns="6f8f6263-b00a-4208-a042-f764cf6218f5" xsi:nil="true"/>
    <TaxCatchAll xmlns="b5fb1d5c-55d7-40c9-bb33-e8f753449775" xsi:nil="true"/>
    <_dlc_DocId xmlns="b5fb1d5c-55d7-40c9-bb33-e8f753449775">MA35ZT35MC6K-1914830197-26306</_dlc_DocId>
    <_dlc_DocIdUrl xmlns="b5fb1d5c-55d7-40c9-bb33-e8f753449775">
      <Url>https://curraghmine.sharepoint.com/team/investorrelations/_layouts/15/DocIdRedir.aspx?ID=MA35ZT35MC6K-1914830197-26306</Url>
      <Description>MA35ZT35MC6K-1914830197-26306</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CC20E5D-10B4-4138-92BE-581712BBB46A}"/>
</file>

<file path=customXml/itemProps2.xml><?xml version="1.0" encoding="utf-8"?>
<ds:datastoreItem xmlns:ds="http://schemas.openxmlformats.org/officeDocument/2006/customXml" ds:itemID="{6F219A67-60C6-46C8-9B6E-90F4E5609BC2}">
  <ds:schemaRefs>
    <ds:schemaRef ds:uri="http://schemas.microsoft.com/office/2006/documentManagement/types"/>
    <ds:schemaRef ds:uri="52c22e9b-745c-4b11-ac87-13a5edc89302"/>
    <ds:schemaRef ds:uri="http://purl.org/dc/dcmitype/"/>
    <ds:schemaRef ds:uri="3f5a8199-28b6-4496-b0f7-ad04fcb4c99d"/>
    <ds:schemaRef ds:uri="http://purl.org/dc/elements/1.1/"/>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68338D73-C60C-4F4A-B38E-35FB492D6A1E}">
  <ds:schemaRefs>
    <ds:schemaRef ds:uri="http://schemas.microsoft.com/sharepoint/v3/contenttype/forms"/>
  </ds:schemaRefs>
</ds:datastoreItem>
</file>

<file path=customXml/itemProps4.xml><?xml version="1.0" encoding="utf-8"?>
<ds:datastoreItem xmlns:ds="http://schemas.openxmlformats.org/officeDocument/2006/customXml" ds:itemID="{EE1CAC2F-7747-4538-AF54-49ADE2C3FC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Cover</vt:lpstr>
      <vt:lpstr>Our Operations</vt:lpstr>
      <vt:lpstr>Climate Change</vt:lpstr>
      <vt:lpstr>Environment</vt:lpstr>
      <vt:lpstr>Safety &amp; Health</vt:lpstr>
      <vt:lpstr>People</vt:lpstr>
      <vt:lpstr>Community</vt:lpstr>
      <vt:lpstr>Corporate and Financial</vt:lpstr>
      <vt:lpstr>Key Stats</vt:lpstr>
      <vt:lpstr>Stakeholder engagement</vt:lpstr>
      <vt:lpstr>'Climate Change'!Print_Area</vt:lpstr>
      <vt:lpstr>Environment!Print_Area</vt:lpstr>
      <vt:lpstr>People!Print_Area</vt:lpstr>
      <vt:lpstr>'Stakeholder engagement'!Print_Area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Ballot, Elmien</dc:creator>
  <cp:keywords/>
  <dc:description/>
  <cp:lastModifiedBy>Doyle, Kerry-Lee</cp:lastModifiedBy>
  <cp:revision/>
  <cp:lastPrinted>2026-05-20T06:34:20Z</cp:lastPrinted>
  <dcterms:created xsi:type="dcterms:W3CDTF">2021-03-03T21:40:01Z</dcterms:created>
  <dcterms:modified xsi:type="dcterms:W3CDTF">2026-05-20T06:40:07Z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0x01010035063F7EA0125847BE956AE6DBED6CB0</vt:lpwstr>
  </property>
  <property fmtid="{D5CDD505-2E9C-101B-9397-08002B2CF9AE}" pid="3" name="_dlc_DocIdItemGuid">
    <vt:lpwstr>b869f3af-855d-48c6-9ad5-6eec04c96023</vt:lpwstr>
  </property>
  <property fmtid="{D5CDD505-2E9C-101B-9397-08002B2CF9AE}" pid="4" name="Order">
    <vt:r8>20200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TemplateUrl">
    <vt:lpwstr/>
  </property>
  <property fmtid="{D5CDD505-2E9C-101B-9397-08002B2CF9AE}" pid="10" name="ComplianceAssetId">
    <vt:lpwstr/>
  </property>
  <property fmtid="{D5CDD505-2E9C-101B-9397-08002B2CF9AE}" pid="11" name="MediaServiceImageTags">
    <vt:lpwstr/>
  </property>
  <property fmtid="{D5CDD505-2E9C-101B-9397-08002B2CF9AE}" pid="12" name="_ColorHex">
    <vt:lpwstr/>
  </property>
  <property fmtid="{D5CDD505-2E9C-101B-9397-08002B2CF9AE}" pid="13" name="_Emoji">
    <vt:lpwstr/>
  </property>
  <property fmtid="{D5CDD505-2E9C-101B-9397-08002B2CF9AE}" pid="14" name="_ColorTag">
    <vt:lpwstr/>
  </property>
</Properties>
</file>